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EstaPasta_de_trabalho"/>
  <bookViews>
    <workbookView xWindow="0" yWindow="180" windowWidth="16605" windowHeight="9225" tabRatio="883" firstSheet="1" activeTab="1"/>
  </bookViews>
  <sheets>
    <sheet name="ESQUADRIA" sheetId="3" state="hidden" r:id="rId1"/>
    <sheet name="Orçamento" sheetId="18" r:id="rId2"/>
    <sheet name="Adm Local Obra" sheetId="33" r:id="rId3"/>
    <sheet name="Consumo Água e Energia" sheetId="34" r:id="rId4"/>
    <sheet name="Cronograma" sheetId="26" r:id="rId5"/>
    <sheet name="BDI" sheetId="31" r:id="rId6"/>
    <sheet name="LEIS SOCIAIS" sheetId="32" r:id="rId7"/>
    <sheet name="COBERTURA" sheetId="19" r:id="rId8"/>
    <sheet name="Revestimento" sheetId="16" r:id="rId9"/>
    <sheet name="impermeabilização" sheetId="9" r:id="rId10"/>
    <sheet name="Pintura Estac." sheetId="15" r:id="rId11"/>
    <sheet name="GÁS GLP" sheetId="30" r:id="rId12"/>
    <sheet name="PLOTAGEM" sheetId="21" r:id="rId13"/>
    <sheet name="Piso e Forro" sheetId="7" r:id="rId14"/>
    <sheet name="HIDRÁULICA" sheetId="20" r:id="rId15"/>
    <sheet name="SANITÁRIA" sheetId="23" r:id="rId16"/>
    <sheet name="Plan6" sheetId="24" state="hidden" r:id="rId17"/>
    <sheet name="Plan3" sheetId="29" state="hidden" r:id="rId18"/>
    <sheet name="Plan1" sheetId="27" r:id="rId19"/>
  </sheets>
  <externalReferences>
    <externalReference r:id="rId20"/>
    <externalReference r:id="rId21"/>
  </externalReferences>
  <definedNames>
    <definedName name="_xlnm.Print_Area" localSheetId="5">BDI!$B$3:$G$50</definedName>
    <definedName name="_xlnm.Print_Area" localSheetId="4">Cronograma!$A$2:$BA$53</definedName>
    <definedName name="_xlnm.Print_Area" localSheetId="0">ESQUADRIA!$B$422:$H$489</definedName>
    <definedName name="_xlnm.Print_Area" localSheetId="11">'GÁS GLP'!$D$2:$H$43</definedName>
    <definedName name="_xlnm.Print_Area" localSheetId="9">impermeabilização!$B$2:$F$64</definedName>
    <definedName name="_xlnm.Print_Area" localSheetId="6">'LEIS SOCIAIS'!$B$2:$H$58</definedName>
    <definedName name="_xlnm.Print_Area" localSheetId="1">Orçamento!$A$1:$I$979</definedName>
    <definedName name="_xlnm.Print_Area" localSheetId="13">'Piso e Forro'!$B$1:$S$620</definedName>
    <definedName name="_xlnm.Print_Area" localSheetId="12">PLOTAGEM!$B$3:$D$28</definedName>
    <definedName name="_xlnm.Print_Titles" localSheetId="4">Cronograma!$A:$D</definedName>
    <definedName name="_xlnm.Print_Titles" localSheetId="0">ESQUADRIA!$422:$422</definedName>
    <definedName name="_xlnm.Print_Titles" localSheetId="9">impermeabilização!$2:$3</definedName>
    <definedName name="_xlnm.Print_Titles" localSheetId="1">Orçamento!$13:$14</definedName>
    <definedName name="_xlnm.Print_Titles" localSheetId="13">'Piso e Forro'!$1:$3</definedName>
    <definedName name="_xlnm.Print_Titles" localSheetId="8">Revestimento!$8:$10</definedName>
  </definedNames>
  <calcPr calcId="145621"/>
</workbook>
</file>

<file path=xl/calcChain.xml><?xml version="1.0" encoding="utf-8"?>
<calcChain xmlns="http://schemas.openxmlformats.org/spreadsheetml/2006/main">
  <c r="H936" i="18" l="1"/>
  <c r="I936" i="18" s="1"/>
  <c r="F936" i="18"/>
  <c r="K6" i="16"/>
  <c r="K5" i="16"/>
  <c r="AG6" i="16"/>
  <c r="AE6" i="16"/>
  <c r="AC6" i="16"/>
  <c r="AA6" i="16"/>
  <c r="X6" i="16"/>
  <c r="V6" i="16"/>
  <c r="T6" i="16"/>
  <c r="Q6" i="16"/>
  <c r="O6" i="16"/>
  <c r="M6" i="16"/>
  <c r="I6" i="16"/>
  <c r="F86" i="18" l="1"/>
  <c r="G9" i="34" l="1"/>
  <c r="G8" i="34"/>
  <c r="H18" i="33"/>
  <c r="H17" i="33"/>
  <c r="G40" i="34" l="1"/>
  <c r="G37" i="34"/>
  <c r="G30" i="34"/>
  <c r="G29" i="34"/>
  <c r="G20" i="34"/>
  <c r="G18" i="34"/>
  <c r="G17" i="34"/>
  <c r="G15" i="34"/>
  <c r="G14" i="34"/>
  <c r="G13" i="34"/>
  <c r="G12" i="34"/>
  <c r="G11" i="34"/>
  <c r="G7" i="34"/>
  <c r="G6" i="34"/>
  <c r="G21" i="34" l="1"/>
  <c r="F22" i="33" s="1"/>
  <c r="H22" i="33" s="1"/>
  <c r="I22" i="33" s="1"/>
  <c r="G41" i="34"/>
  <c r="F21" i="33" s="1"/>
  <c r="H21" i="33" s="1"/>
  <c r="I21" i="33" s="1"/>
  <c r="G43" i="34" s="1"/>
  <c r="C42" i="31" l="1"/>
  <c r="C40" i="31"/>
  <c r="C41" i="31"/>
  <c r="C39" i="31"/>
  <c r="D21" i="31"/>
  <c r="N18" i="31" l="1"/>
  <c r="H8" i="33" l="1"/>
  <c r="H9" i="33"/>
  <c r="H10" i="33"/>
  <c r="H11" i="33"/>
  <c r="H12" i="33"/>
  <c r="H13" i="33"/>
  <c r="H7" i="33"/>
  <c r="F19" i="33"/>
  <c r="H19" i="33" s="1"/>
  <c r="F16" i="33"/>
  <c r="H16" i="33" s="1"/>
  <c r="F15" i="33"/>
  <c r="H15" i="33" s="1"/>
  <c r="F14" i="33"/>
  <c r="H14" i="33" s="1"/>
  <c r="C63" i="9"/>
  <c r="B19" i="26"/>
  <c r="F331" i="18"/>
  <c r="F34" i="18"/>
  <c r="F35" i="18"/>
  <c r="F62" i="18"/>
  <c r="F63" i="18" s="1"/>
  <c r="F75" i="18"/>
  <c r="F77" i="18"/>
  <c r="F79" i="18"/>
  <c r="F80" i="18"/>
  <c r="F83" i="18"/>
  <c r="F141" i="18"/>
  <c r="F174" i="18"/>
  <c r="F193" i="18"/>
  <c r="F204" i="18"/>
  <c r="F209" i="18"/>
  <c r="F228" i="18"/>
  <c r="F236" i="18"/>
  <c r="F239" i="18"/>
  <c r="F240" i="18"/>
  <c r="F327" i="18"/>
  <c r="F328" i="18"/>
  <c r="F329" i="18"/>
  <c r="F330" i="18"/>
  <c r="F332" i="18"/>
  <c r="F333" i="18"/>
  <c r="F334" i="18"/>
  <c r="F335" i="18"/>
  <c r="F336" i="18"/>
  <c r="F337" i="18"/>
  <c r="F338" i="18"/>
  <c r="F556" i="18"/>
  <c r="F557" i="18" s="1"/>
  <c r="F572" i="18"/>
  <c r="F573" i="18" s="1"/>
  <c r="F574" i="18" s="1"/>
  <c r="F575" i="18"/>
  <c r="F583" i="18"/>
  <c r="F584" i="18"/>
  <c r="F612" i="18"/>
  <c r="F613" i="18"/>
  <c r="F617" i="18"/>
  <c r="F627" i="18"/>
  <c r="F629" i="18"/>
  <c r="F633" i="18"/>
  <c r="F634" i="18"/>
  <c r="F636" i="18"/>
  <c r="F637" i="18"/>
  <c r="F638" i="18"/>
  <c r="F647" i="18"/>
  <c r="F663" i="18"/>
  <c r="F665" i="18"/>
  <c r="F666" i="18"/>
  <c r="F702" i="18"/>
  <c r="F703" i="18"/>
  <c r="F704" i="18"/>
  <c r="F709" i="18"/>
  <c r="F735" i="18"/>
  <c r="F736" i="18"/>
  <c r="F737" i="18"/>
  <c r="F738" i="18"/>
  <c r="F745" i="18"/>
  <c r="F800" i="18"/>
  <c r="C35" i="7"/>
  <c r="C136" i="7"/>
  <c r="C608" i="7" s="1"/>
  <c r="C214" i="7"/>
  <c r="C321" i="7"/>
  <c r="C609" i="7"/>
  <c r="C610" i="7"/>
  <c r="C611" i="7"/>
  <c r="C612" i="7"/>
  <c r="K13" i="16"/>
  <c r="AG13" i="16" s="1"/>
  <c r="AH13" i="16" s="1"/>
  <c r="K14" i="16"/>
  <c r="AG14" i="16"/>
  <c r="AH14" i="16" s="1"/>
  <c r="K15" i="16"/>
  <c r="AG15" i="16" s="1"/>
  <c r="AH15" i="16" s="1"/>
  <c r="K16" i="16"/>
  <c r="AG16" i="16"/>
  <c r="AH16" i="16" s="1"/>
  <c r="K17" i="16"/>
  <c r="AG17" i="16" s="1"/>
  <c r="AH17" i="16" s="1"/>
  <c r="K18" i="16"/>
  <c r="AG18" i="16"/>
  <c r="AH18" i="16" s="1"/>
  <c r="K19" i="16"/>
  <c r="AG19" i="16" s="1"/>
  <c r="AH19" i="16" s="1"/>
  <c r="K20" i="16"/>
  <c r="AG20" i="16"/>
  <c r="AH20" i="16" s="1"/>
  <c r="K21" i="16"/>
  <c r="AG21" i="16" s="1"/>
  <c r="AH21" i="16" s="1"/>
  <c r="K22" i="16"/>
  <c r="AG22" i="16"/>
  <c r="AH22" i="16" s="1"/>
  <c r="K23" i="16"/>
  <c r="AG23" i="16" s="1"/>
  <c r="AH23" i="16" s="1"/>
  <c r="K24" i="16"/>
  <c r="AG24" i="16"/>
  <c r="AH24" i="16" s="1"/>
  <c r="K25" i="16"/>
  <c r="AG25" i="16" s="1"/>
  <c r="AH25" i="16" s="1"/>
  <c r="K26" i="16"/>
  <c r="AG26" i="16"/>
  <c r="AH26" i="16" s="1"/>
  <c r="K27" i="16"/>
  <c r="AG27" i="16" s="1"/>
  <c r="AH27" i="16" s="1"/>
  <c r="K28" i="16"/>
  <c r="AG28" i="16"/>
  <c r="AH28" i="16" s="1"/>
  <c r="K29" i="16"/>
  <c r="AG29" i="16" s="1"/>
  <c r="AH29" i="16" s="1"/>
  <c r="K30" i="16"/>
  <c r="AG30" i="16"/>
  <c r="AH30" i="16" s="1"/>
  <c r="K31" i="16"/>
  <c r="AG31" i="16" s="1"/>
  <c r="AH31" i="16" s="1"/>
  <c r="K32" i="16"/>
  <c r="AG32" i="16"/>
  <c r="AH32" i="16" s="1"/>
  <c r="K33" i="16"/>
  <c r="AG33" i="16" s="1"/>
  <c r="AH33" i="16" s="1"/>
  <c r="K34" i="16"/>
  <c r="AG34" i="16"/>
  <c r="AH34" i="16" s="1"/>
  <c r="K35" i="16"/>
  <c r="AG35" i="16" s="1"/>
  <c r="AH35" i="16" s="1"/>
  <c r="K36" i="16"/>
  <c r="AG36" i="16"/>
  <c r="AH36" i="16" s="1"/>
  <c r="K37" i="16"/>
  <c r="AG37" i="16" s="1"/>
  <c r="AH37" i="16" s="1"/>
  <c r="K40" i="16"/>
  <c r="AG40" i="16" s="1"/>
  <c r="AH40" i="16"/>
  <c r="K41" i="16"/>
  <c r="AG41" i="16" s="1"/>
  <c r="AH41" i="16" s="1"/>
  <c r="K42" i="16"/>
  <c r="AG42" i="16"/>
  <c r="AH42" i="16" s="1"/>
  <c r="K43" i="16"/>
  <c r="AG43" i="16"/>
  <c r="AH43" i="16"/>
  <c r="K44" i="16"/>
  <c r="AG44" i="16" s="1"/>
  <c r="AH44" i="16" s="1"/>
  <c r="K45" i="16"/>
  <c r="AG45" i="16" s="1"/>
  <c r="AH45" i="16" s="1"/>
  <c r="K46" i="16"/>
  <c r="AG46" i="16" s="1"/>
  <c r="AH46" i="16" s="1"/>
  <c r="K47" i="16"/>
  <c r="AG47" i="16"/>
  <c r="AH47" i="16" s="1"/>
  <c r="K48" i="16"/>
  <c r="AG48" i="16" s="1"/>
  <c r="AH48" i="16" s="1"/>
  <c r="K49" i="16"/>
  <c r="AG49" i="16" s="1"/>
  <c r="AH49" i="16" s="1"/>
  <c r="K50" i="16"/>
  <c r="AG50" i="16"/>
  <c r="AH50" i="16" s="1"/>
  <c r="K53" i="16"/>
  <c r="AG53" i="16"/>
  <c r="AH53" i="16"/>
  <c r="K54" i="16"/>
  <c r="AG54" i="16" s="1"/>
  <c r="AH54" i="16"/>
  <c r="K55" i="16"/>
  <c r="AG55" i="16"/>
  <c r="AH55" i="16" s="1"/>
  <c r="K56" i="16"/>
  <c r="AG56" i="16"/>
  <c r="AH56" i="16" s="1"/>
  <c r="K57" i="16"/>
  <c r="AG57" i="16"/>
  <c r="AH57" i="16"/>
  <c r="K58" i="16"/>
  <c r="AG58" i="16" s="1"/>
  <c r="AH58" i="16"/>
  <c r="K59" i="16"/>
  <c r="AG59" i="16"/>
  <c r="AH59" i="16" s="1"/>
  <c r="K60" i="16"/>
  <c r="AG60" i="16"/>
  <c r="AH60" i="16" s="1"/>
  <c r="K61" i="16"/>
  <c r="AG61" i="16"/>
  <c r="AH61" i="16"/>
  <c r="K62" i="16"/>
  <c r="AG62" i="16" s="1"/>
  <c r="AH62" i="16"/>
  <c r="K63" i="16"/>
  <c r="AG63" i="16"/>
  <c r="AH63" i="16" s="1"/>
  <c r="K64" i="16"/>
  <c r="AG64" i="16"/>
  <c r="AH64" i="16" s="1"/>
  <c r="K65" i="16"/>
  <c r="AG65" i="16"/>
  <c r="AH65" i="16"/>
  <c r="K66" i="16"/>
  <c r="AG66" i="16" s="1"/>
  <c r="AH66" i="16"/>
  <c r="K67" i="16"/>
  <c r="AG67" i="16"/>
  <c r="AH67" i="16" s="1"/>
  <c r="K68" i="16"/>
  <c r="AG68" i="16"/>
  <c r="AH68" i="16" s="1"/>
  <c r="K69" i="16"/>
  <c r="AG69" i="16"/>
  <c r="AH69" i="16"/>
  <c r="K70" i="16"/>
  <c r="AG70" i="16" s="1"/>
  <c r="AH70" i="16"/>
  <c r="K71" i="16"/>
  <c r="AG71" i="16"/>
  <c r="AH71" i="16" s="1"/>
  <c r="K72" i="16"/>
  <c r="AG72" i="16"/>
  <c r="AH72" i="16" s="1"/>
  <c r="K73" i="16"/>
  <c r="AG73" i="16"/>
  <c r="AH73" i="16"/>
  <c r="K74" i="16"/>
  <c r="AG74" i="16" s="1"/>
  <c r="AH74" i="16"/>
  <c r="K75" i="16"/>
  <c r="AG75" i="16"/>
  <c r="AH75" i="16" s="1"/>
  <c r="K76" i="16"/>
  <c r="AG76" i="16"/>
  <c r="AH76" i="16" s="1"/>
  <c r="K77" i="16"/>
  <c r="AG77" i="16"/>
  <c r="AH77" i="16"/>
  <c r="K78" i="16"/>
  <c r="AG78" i="16" s="1"/>
  <c r="AH78" i="16"/>
  <c r="K81" i="16"/>
  <c r="AG81" i="16" s="1"/>
  <c r="AH81" i="16" s="1"/>
  <c r="K82" i="16"/>
  <c r="AG82" i="16" s="1"/>
  <c r="AH82" i="16" s="1"/>
  <c r="K83" i="16"/>
  <c r="AG83" i="16" s="1"/>
  <c r="AH83" i="16" s="1"/>
  <c r="K84" i="16"/>
  <c r="AG84" i="16"/>
  <c r="AH84" i="16" s="1"/>
  <c r="K85" i="16"/>
  <c r="AG85" i="16" s="1"/>
  <c r="AH85" i="16" s="1"/>
  <c r="K86" i="16"/>
  <c r="AG86" i="16" s="1"/>
  <c r="AH86" i="16" s="1"/>
  <c r="K87" i="16"/>
  <c r="AG87" i="16" s="1"/>
  <c r="AH87" i="16" s="1"/>
  <c r="K88" i="16"/>
  <c r="AG88" i="16"/>
  <c r="AH88" i="16" s="1"/>
  <c r="K89" i="16"/>
  <c r="AG89" i="16" s="1"/>
  <c r="AH89" i="16" s="1"/>
  <c r="K90" i="16"/>
  <c r="AG90" i="16" s="1"/>
  <c r="AH90" i="16" s="1"/>
  <c r="K91" i="16"/>
  <c r="AG91" i="16" s="1"/>
  <c r="AH91" i="16" s="1"/>
  <c r="K92" i="16"/>
  <c r="AG92" i="16"/>
  <c r="AH92" i="16" s="1"/>
  <c r="K93" i="16"/>
  <c r="AG93" i="16" s="1"/>
  <c r="AH93" i="16" s="1"/>
  <c r="K94" i="16"/>
  <c r="AG94" i="16" s="1"/>
  <c r="AH94" i="16" s="1"/>
  <c r="K95" i="16"/>
  <c r="AG95" i="16" s="1"/>
  <c r="AH95" i="16" s="1"/>
  <c r="K96" i="16"/>
  <c r="AG96" i="16"/>
  <c r="AH96" i="16" s="1"/>
  <c r="K97" i="16"/>
  <c r="AG97" i="16" s="1"/>
  <c r="AH97" i="16" s="1"/>
  <c r="K98" i="16"/>
  <c r="AG98" i="16" s="1"/>
  <c r="AH98" i="16" s="1"/>
  <c r="K99" i="16"/>
  <c r="AG99" i="16" s="1"/>
  <c r="AH99" i="16" s="1"/>
  <c r="K100" i="16"/>
  <c r="AG100" i="16"/>
  <c r="AH100" i="16" s="1"/>
  <c r="K101" i="16"/>
  <c r="AG101" i="16" s="1"/>
  <c r="AH101" i="16" s="1"/>
  <c r="K102" i="16"/>
  <c r="AG102" i="16" s="1"/>
  <c r="AH102" i="16" s="1"/>
  <c r="K103" i="16"/>
  <c r="AG103" i="16" s="1"/>
  <c r="AH103" i="16" s="1"/>
  <c r="K104" i="16"/>
  <c r="AG104" i="16"/>
  <c r="AH104" i="16" s="1"/>
  <c r="K105" i="16"/>
  <c r="AG105" i="16" s="1"/>
  <c r="AH105" i="16" s="1"/>
  <c r="K106" i="16"/>
  <c r="AG106" i="16" s="1"/>
  <c r="AH106" i="16" s="1"/>
  <c r="K107" i="16"/>
  <c r="AG107" i="16" s="1"/>
  <c r="AH107" i="16" s="1"/>
  <c r="K108" i="16"/>
  <c r="AG108" i="16"/>
  <c r="AH108" i="16" s="1"/>
  <c r="K109" i="16"/>
  <c r="AG109" i="16" s="1"/>
  <c r="AH109" i="16" s="1"/>
  <c r="K110" i="16"/>
  <c r="AG110" i="16" s="1"/>
  <c r="AH110" i="16"/>
  <c r="K111" i="16"/>
  <c r="AG111" i="16"/>
  <c r="AH111" i="16" s="1"/>
  <c r="K112" i="16"/>
  <c r="AG112" i="16" s="1"/>
  <c r="AH112" i="16"/>
  <c r="K113" i="16"/>
  <c r="AG113" i="16"/>
  <c r="AH113" i="16" s="1"/>
  <c r="K114" i="16"/>
  <c r="AG114" i="16" s="1"/>
  <c r="H114" i="16"/>
  <c r="K115" i="16"/>
  <c r="AG115" i="16" s="1"/>
  <c r="AH115" i="16"/>
  <c r="K116" i="16"/>
  <c r="AG116" i="16"/>
  <c r="AH116" i="16" s="1"/>
  <c r="K117" i="16"/>
  <c r="AG117" i="16" s="1"/>
  <c r="AH117" i="16"/>
  <c r="K118" i="16"/>
  <c r="AG118" i="16"/>
  <c r="AH118" i="16" s="1"/>
  <c r="K119" i="16"/>
  <c r="AG119" i="16" s="1"/>
  <c r="AH119" i="16"/>
  <c r="K120" i="16"/>
  <c r="AG120" i="16"/>
  <c r="AH120" i="16" s="1"/>
  <c r="K121" i="16"/>
  <c r="AG121" i="16" s="1"/>
  <c r="AH121" i="16"/>
  <c r="K122" i="16"/>
  <c r="AG122" i="16"/>
  <c r="AH122" i="16" s="1"/>
  <c r="K123" i="16"/>
  <c r="AG123" i="16" s="1"/>
  <c r="AH123" i="16"/>
  <c r="K124" i="16"/>
  <c r="AG124" i="16"/>
  <c r="AH124" i="16" s="1"/>
  <c r="K127" i="16"/>
  <c r="AG127" i="16"/>
  <c r="AH127" i="16" s="1"/>
  <c r="AH126" i="16"/>
  <c r="K130" i="16"/>
  <c r="AG130" i="16"/>
  <c r="AH130" i="16" s="1"/>
  <c r="K131" i="16"/>
  <c r="AG131" i="16" s="1"/>
  <c r="AH131" i="16"/>
  <c r="K132" i="16"/>
  <c r="AG132" i="16"/>
  <c r="AH132" i="16" s="1"/>
  <c r="K133" i="16"/>
  <c r="AG133" i="16" s="1"/>
  <c r="AH133" i="16"/>
  <c r="K134" i="16"/>
  <c r="AG134" i="16"/>
  <c r="AH134" i="16" s="1"/>
  <c r="K135" i="16"/>
  <c r="AG135" i="16" s="1"/>
  <c r="AH135" i="16"/>
  <c r="K136" i="16"/>
  <c r="AG136" i="16"/>
  <c r="AH136" i="16" s="1"/>
  <c r="K137" i="16"/>
  <c r="AG137" i="16" s="1"/>
  <c r="AH137" i="16"/>
  <c r="K138" i="16"/>
  <c r="AG138" i="16"/>
  <c r="AH138" i="16" s="1"/>
  <c r="K139" i="16"/>
  <c r="AG139" i="16" s="1"/>
  <c r="AH139" i="16"/>
  <c r="K140" i="16"/>
  <c r="AG140" i="16"/>
  <c r="AH140" i="16" s="1"/>
  <c r="K141" i="16"/>
  <c r="AG141" i="16" s="1"/>
  <c r="AH141" i="16"/>
  <c r="K142" i="16"/>
  <c r="AG142" i="16"/>
  <c r="AH142" i="16" s="1"/>
  <c r="H142" i="16"/>
  <c r="K143" i="16"/>
  <c r="AG143" i="16"/>
  <c r="AH143" i="16" s="1"/>
  <c r="K144" i="16"/>
  <c r="AG144" i="16" s="1"/>
  <c r="AH144" i="16"/>
  <c r="K145" i="16"/>
  <c r="AG145" i="16"/>
  <c r="AH145" i="16" s="1"/>
  <c r="K146" i="16"/>
  <c r="AG146" i="16" s="1"/>
  <c r="AH146" i="16"/>
  <c r="K147" i="16"/>
  <c r="AG147" i="16"/>
  <c r="AH147" i="16" s="1"/>
  <c r="K148" i="16"/>
  <c r="AG148" i="16" s="1"/>
  <c r="D148" i="16"/>
  <c r="K149" i="16"/>
  <c r="AG149" i="16" s="1"/>
  <c r="AH149" i="16"/>
  <c r="K150" i="16"/>
  <c r="AG150" i="16"/>
  <c r="AH150" i="16" s="1"/>
  <c r="K151" i="16"/>
  <c r="AG151" i="16" s="1"/>
  <c r="AH151" i="16"/>
  <c r="K152" i="16"/>
  <c r="AG152" i="16"/>
  <c r="AH152" i="16" s="1"/>
  <c r="K153" i="16"/>
  <c r="AG153" i="16" s="1"/>
  <c r="AH153" i="16"/>
  <c r="K154" i="16"/>
  <c r="AG154" i="16"/>
  <c r="AH154" i="16" s="1"/>
  <c r="K155" i="16"/>
  <c r="AG155" i="16" s="1"/>
  <c r="AH155" i="16"/>
  <c r="K156" i="16"/>
  <c r="AG156" i="16"/>
  <c r="AH156" i="16" s="1"/>
  <c r="K157" i="16"/>
  <c r="AG157" i="16" s="1"/>
  <c r="AH157" i="16"/>
  <c r="K158" i="16"/>
  <c r="AG158" i="16"/>
  <c r="AH158" i="16" s="1"/>
  <c r="K159" i="16"/>
  <c r="AG159" i="16" s="1"/>
  <c r="AH159" i="16"/>
  <c r="K160" i="16"/>
  <c r="AG160" i="16"/>
  <c r="AH160" i="16" s="1"/>
  <c r="K161" i="16"/>
  <c r="AG161" i="16" s="1"/>
  <c r="AH161" i="16"/>
  <c r="K162" i="16"/>
  <c r="AG162" i="16"/>
  <c r="AH162" i="16" s="1"/>
  <c r="K163" i="16"/>
  <c r="AG163" i="16" s="1"/>
  <c r="AH163" i="16"/>
  <c r="K164" i="16"/>
  <c r="AG164" i="16"/>
  <c r="AH164" i="16" s="1"/>
  <c r="K165" i="16"/>
  <c r="AG165" i="16" s="1"/>
  <c r="AH165" i="16"/>
  <c r="K166" i="16"/>
  <c r="AG166" i="16"/>
  <c r="AH166" i="16" s="1"/>
  <c r="K167" i="16"/>
  <c r="AG167" i="16" s="1"/>
  <c r="AH167" i="16"/>
  <c r="K168" i="16"/>
  <c r="AG168" i="16"/>
  <c r="AH168" i="16" s="1"/>
  <c r="K169" i="16"/>
  <c r="AG169" i="16" s="1"/>
  <c r="AH169" i="16"/>
  <c r="K170" i="16"/>
  <c r="AG170" i="16"/>
  <c r="AH170" i="16" s="1"/>
  <c r="K171" i="16"/>
  <c r="AG171" i="16" s="1"/>
  <c r="AH171" i="16"/>
  <c r="K172" i="16"/>
  <c r="AG172" i="16"/>
  <c r="AH172" i="16" s="1"/>
  <c r="K173" i="16"/>
  <c r="AG173" i="16" s="1"/>
  <c r="AH173" i="16"/>
  <c r="K174" i="16"/>
  <c r="AG174" i="16"/>
  <c r="AH174" i="16" s="1"/>
  <c r="K175" i="16"/>
  <c r="AG175" i="16" s="1"/>
  <c r="H175" i="16"/>
  <c r="K176" i="16"/>
  <c r="AG176" i="16" s="1"/>
  <c r="AH176" i="16"/>
  <c r="K177" i="16"/>
  <c r="AG177" i="16"/>
  <c r="AH177" i="16" s="1"/>
  <c r="K178" i="16"/>
  <c r="AG178" i="16" s="1"/>
  <c r="AH178" i="16"/>
  <c r="K179" i="16"/>
  <c r="AG179" i="16"/>
  <c r="AH179" i="16" s="1"/>
  <c r="K180" i="16"/>
  <c r="AG180" i="16" s="1"/>
  <c r="AH180" i="16"/>
  <c r="K181" i="16"/>
  <c r="AG181" i="16"/>
  <c r="AH181" i="16" s="1"/>
  <c r="K182" i="16"/>
  <c r="AG182" i="16" s="1"/>
  <c r="AH182" i="16"/>
  <c r="K183" i="16"/>
  <c r="AG183" i="16"/>
  <c r="AH183" i="16" s="1"/>
  <c r="K184" i="16"/>
  <c r="AG184" i="16" s="1"/>
  <c r="AH184" i="16"/>
  <c r="K185" i="16"/>
  <c r="AG185" i="16"/>
  <c r="AH185" i="16" s="1"/>
  <c r="K186" i="16"/>
  <c r="AG186" i="16" s="1"/>
  <c r="AH186" i="16"/>
  <c r="K189" i="16"/>
  <c r="AG189" i="16" s="1"/>
  <c r="AH189" i="16"/>
  <c r="K190" i="16"/>
  <c r="AG190" i="16"/>
  <c r="AH190" i="16" s="1"/>
  <c r="K191" i="16"/>
  <c r="AG191" i="16" s="1"/>
  <c r="AH191" i="16"/>
  <c r="K192" i="16"/>
  <c r="AG192" i="16"/>
  <c r="AH192" i="16" s="1"/>
  <c r="K193" i="16"/>
  <c r="AG193" i="16" s="1"/>
  <c r="AH193" i="16"/>
  <c r="K194" i="16"/>
  <c r="AG194" i="16"/>
  <c r="AH194" i="16" s="1"/>
  <c r="K195" i="16"/>
  <c r="AG195" i="16" s="1"/>
  <c r="AH195" i="16"/>
  <c r="K196" i="16"/>
  <c r="AG196" i="16"/>
  <c r="AH196" i="16" s="1"/>
  <c r="K197" i="16"/>
  <c r="AG197" i="16" s="1"/>
  <c r="AH197" i="16"/>
  <c r="K198" i="16"/>
  <c r="AG198" i="16"/>
  <c r="AH198" i="16" s="1"/>
  <c r="K199" i="16"/>
  <c r="AG199" i="16" s="1"/>
  <c r="AH199" i="16"/>
  <c r="K200" i="16"/>
  <c r="AG200" i="16"/>
  <c r="AH200" i="16" s="1"/>
  <c r="K201" i="16"/>
  <c r="AG201" i="16" s="1"/>
  <c r="AH201" i="16"/>
  <c r="K202" i="16"/>
  <c r="AG202" i="16"/>
  <c r="AH202" i="16" s="1"/>
  <c r="K203" i="16"/>
  <c r="AG203" i="16" s="1"/>
  <c r="AH203" i="16"/>
  <c r="K204" i="16"/>
  <c r="AG204" i="16"/>
  <c r="AH204" i="16" s="1"/>
  <c r="K205" i="16"/>
  <c r="AG205" i="16" s="1"/>
  <c r="AH205" i="16"/>
  <c r="K206" i="16"/>
  <c r="AG206" i="16"/>
  <c r="AH206" i="16" s="1"/>
  <c r="K207" i="16"/>
  <c r="AG207" i="16" s="1"/>
  <c r="AH207" i="16"/>
  <c r="K208" i="16"/>
  <c r="AG208" i="16"/>
  <c r="AH208" i="16" s="1"/>
  <c r="K209" i="16"/>
  <c r="AG209" i="16" s="1"/>
  <c r="AH209" i="16"/>
  <c r="K210" i="16"/>
  <c r="AG210" i="16"/>
  <c r="AH210" i="16" s="1"/>
  <c r="K211" i="16"/>
  <c r="AG211" i="16" s="1"/>
  <c r="AH211" i="16"/>
  <c r="K212" i="16"/>
  <c r="AG212" i="16"/>
  <c r="AH212" i="16" s="1"/>
  <c r="K213" i="16"/>
  <c r="AG213" i="16" s="1"/>
  <c r="AH213" i="16"/>
  <c r="K214" i="16"/>
  <c r="AG214" i="16"/>
  <c r="AH214" i="16" s="1"/>
  <c r="K215" i="16"/>
  <c r="AG215" i="16" s="1"/>
  <c r="AH215" i="16"/>
  <c r="K216" i="16"/>
  <c r="AG216" i="16"/>
  <c r="AH216" i="16" s="1"/>
  <c r="K217" i="16"/>
  <c r="AG217" i="16" s="1"/>
  <c r="AH217" i="16"/>
  <c r="K218" i="16"/>
  <c r="AG218" i="16"/>
  <c r="AH218" i="16" s="1"/>
  <c r="K219" i="16"/>
  <c r="AG219" i="16" s="1"/>
  <c r="AH219" i="16"/>
  <c r="K220" i="16"/>
  <c r="AG220" i="16"/>
  <c r="AH220" i="16" s="1"/>
  <c r="K221" i="16"/>
  <c r="AG221" i="16" s="1"/>
  <c r="AH221" i="16"/>
  <c r="K222" i="16"/>
  <c r="AG222" i="16"/>
  <c r="AH222" i="16" s="1"/>
  <c r="K225" i="16"/>
  <c r="AG225" i="16"/>
  <c r="AH225" i="16" s="1"/>
  <c r="K226" i="16"/>
  <c r="AG226" i="16" s="1"/>
  <c r="AH226" i="16" s="1"/>
  <c r="K227" i="16"/>
  <c r="AG227" i="16"/>
  <c r="AH227" i="16" s="1"/>
  <c r="K228" i="16"/>
  <c r="AG228" i="16" s="1"/>
  <c r="AH228" i="16" s="1"/>
  <c r="K229" i="16"/>
  <c r="AG229" i="16"/>
  <c r="AH229" i="16" s="1"/>
  <c r="K230" i="16"/>
  <c r="AG230" i="16" s="1"/>
  <c r="AH230" i="16" s="1"/>
  <c r="K231" i="16"/>
  <c r="AG231" i="16"/>
  <c r="AH231" i="16" s="1"/>
  <c r="K232" i="16"/>
  <c r="AG232" i="16" s="1"/>
  <c r="AH232" i="16" s="1"/>
  <c r="K233" i="16"/>
  <c r="AG233" i="16"/>
  <c r="AH233" i="16" s="1"/>
  <c r="K234" i="16"/>
  <c r="AG234" i="16" s="1"/>
  <c r="AH234" i="16" s="1"/>
  <c r="K235" i="16"/>
  <c r="AG235" i="16"/>
  <c r="AH235" i="16" s="1"/>
  <c r="K236" i="16"/>
  <c r="AG236" i="16" s="1"/>
  <c r="AH236" i="16" s="1"/>
  <c r="K237" i="16"/>
  <c r="AG237" i="16"/>
  <c r="AH237" i="16" s="1"/>
  <c r="K238" i="16"/>
  <c r="AG238" i="16" s="1"/>
  <c r="AH238" i="16" s="1"/>
  <c r="K239" i="16"/>
  <c r="AG239" i="16"/>
  <c r="AH239" i="16" s="1"/>
  <c r="K240" i="16"/>
  <c r="AG240" i="16" s="1"/>
  <c r="AH240" i="16" s="1"/>
  <c r="K241" i="16"/>
  <c r="AG241" i="16"/>
  <c r="AH241" i="16" s="1"/>
  <c r="K242" i="16"/>
  <c r="AG242" i="16" s="1"/>
  <c r="AH242" i="16" s="1"/>
  <c r="K243" i="16"/>
  <c r="AG243" i="16"/>
  <c r="AH243" i="16" s="1"/>
  <c r="K244" i="16"/>
  <c r="AG244" i="16" s="1"/>
  <c r="AH244" i="16" s="1"/>
  <c r="K245" i="16"/>
  <c r="AG245" i="16"/>
  <c r="AH245" i="16" s="1"/>
  <c r="K246" i="16"/>
  <c r="AG246" i="16" s="1"/>
  <c r="AH246" i="16" s="1"/>
  <c r="K247" i="16"/>
  <c r="AG247" i="16"/>
  <c r="AH247" i="16" s="1"/>
  <c r="K248" i="16"/>
  <c r="AG248" i="16" s="1"/>
  <c r="AH248" i="16" s="1"/>
  <c r="K249" i="16"/>
  <c r="AG249" i="16"/>
  <c r="AH249" i="16" s="1"/>
  <c r="K250" i="16"/>
  <c r="AG250" i="16" s="1"/>
  <c r="AH250" i="16" s="1"/>
  <c r="K251" i="16"/>
  <c r="AG251" i="16"/>
  <c r="AH251" i="16" s="1"/>
  <c r="K252" i="16"/>
  <c r="AG252" i="16" s="1"/>
  <c r="AH252" i="16" s="1"/>
  <c r="K253" i="16"/>
  <c r="AG253" i="16"/>
  <c r="AH253" i="16" s="1"/>
  <c r="K254" i="16"/>
  <c r="AG254" i="16" s="1"/>
  <c r="AH254" i="16" s="1"/>
  <c r="K257" i="16"/>
  <c r="AG257" i="16" s="1"/>
  <c r="AH257" i="16" s="1"/>
  <c r="K258" i="16"/>
  <c r="AG258" i="16"/>
  <c r="AH258" i="16" s="1"/>
  <c r="K259" i="16"/>
  <c r="K260" i="16"/>
  <c r="AG260" i="16"/>
  <c r="AH260" i="16" s="1"/>
  <c r="K261" i="16"/>
  <c r="AG261" i="16" s="1"/>
  <c r="AH261" i="16" s="1"/>
  <c r="K262" i="16"/>
  <c r="AG262" i="16"/>
  <c r="AH262" i="16" s="1"/>
  <c r="K263" i="16"/>
  <c r="D263" i="16"/>
  <c r="K264" i="16"/>
  <c r="AG264" i="16" s="1"/>
  <c r="AH264" i="16" s="1"/>
  <c r="K265" i="16"/>
  <c r="AG265" i="16"/>
  <c r="AH265" i="16" s="1"/>
  <c r="K266" i="16"/>
  <c r="AG266" i="16" s="1"/>
  <c r="AH266" i="16" s="1"/>
  <c r="K267" i="16"/>
  <c r="AG267" i="16"/>
  <c r="AH267" i="16" s="1"/>
  <c r="K268" i="16"/>
  <c r="AG268" i="16" s="1"/>
  <c r="AH268" i="16" s="1"/>
  <c r="K269" i="16"/>
  <c r="AG269" i="16"/>
  <c r="AH269" i="16" s="1"/>
  <c r="K270" i="16"/>
  <c r="AG270" i="16" s="1"/>
  <c r="AH270" i="16" s="1"/>
  <c r="K271" i="16"/>
  <c r="AG271" i="16"/>
  <c r="AH271" i="16" s="1"/>
  <c r="K272" i="16"/>
  <c r="AG272" i="16" s="1"/>
  <c r="AH272" i="16" s="1"/>
  <c r="K273" i="16"/>
  <c r="AG273" i="16"/>
  <c r="AH273" i="16" s="1"/>
  <c r="K274" i="16"/>
  <c r="AG274" i="16" s="1"/>
  <c r="AH274" i="16" s="1"/>
  <c r="K275" i="16"/>
  <c r="AG275" i="16"/>
  <c r="AH275" i="16" s="1"/>
  <c r="K276" i="16"/>
  <c r="AG276" i="16" s="1"/>
  <c r="AH276" i="16" s="1"/>
  <c r="K277" i="16"/>
  <c r="AG277" i="16"/>
  <c r="AH277" i="16" s="1"/>
  <c r="K278" i="16"/>
  <c r="AG278" i="16" s="1"/>
  <c r="AH278" i="16" s="1"/>
  <c r="K279" i="16"/>
  <c r="AG279" i="16"/>
  <c r="AH279" i="16" s="1"/>
  <c r="K280" i="16"/>
  <c r="AG280" i="16" s="1"/>
  <c r="AH280" i="16" s="1"/>
  <c r="K281" i="16"/>
  <c r="AG281" i="16"/>
  <c r="AH281" i="16" s="1"/>
  <c r="K282" i="16"/>
  <c r="AG282" i="16" s="1"/>
  <c r="AH282" i="16" s="1"/>
  <c r="K283" i="16"/>
  <c r="AG283" i="16"/>
  <c r="AH283" i="16" s="1"/>
  <c r="K286" i="16"/>
  <c r="AG286" i="16"/>
  <c r="AH286" i="16" s="1"/>
  <c r="K287" i="16"/>
  <c r="AG287" i="16" s="1"/>
  <c r="AH287" i="16"/>
  <c r="K288" i="16"/>
  <c r="AG288" i="16"/>
  <c r="AH288" i="16" s="1"/>
  <c r="K289" i="16"/>
  <c r="AG289" i="16" s="1"/>
  <c r="AH289" i="16"/>
  <c r="K290" i="16"/>
  <c r="AG290" i="16"/>
  <c r="AH290" i="16" s="1"/>
  <c r="K291" i="16"/>
  <c r="AG291" i="16" s="1"/>
  <c r="AH291" i="16"/>
  <c r="K292" i="16"/>
  <c r="AG292" i="16"/>
  <c r="AH292" i="16" s="1"/>
  <c r="K293" i="16"/>
  <c r="AG293" i="16" s="1"/>
  <c r="AH293" i="16"/>
  <c r="K294" i="16"/>
  <c r="AG294" i="16"/>
  <c r="AH294" i="16" s="1"/>
  <c r="K295" i="16"/>
  <c r="AG295" i="16" s="1"/>
  <c r="AH295" i="16"/>
  <c r="K296" i="16"/>
  <c r="AG296" i="16"/>
  <c r="AH296" i="16" s="1"/>
  <c r="K297" i="16"/>
  <c r="AG297" i="16" s="1"/>
  <c r="AH297" i="16"/>
  <c r="K298" i="16"/>
  <c r="AG298" i="16"/>
  <c r="AH298" i="16" s="1"/>
  <c r="K299" i="16"/>
  <c r="AG299" i="16" s="1"/>
  <c r="AH299" i="16"/>
  <c r="K300" i="16"/>
  <c r="AG300" i="16"/>
  <c r="AH300" i="16" s="1"/>
  <c r="K301" i="16"/>
  <c r="AG301" i="16" s="1"/>
  <c r="AH301" i="16"/>
  <c r="K302" i="16"/>
  <c r="AG302" i="16"/>
  <c r="AH302" i="16" s="1"/>
  <c r="K303" i="16"/>
  <c r="AG303" i="16" s="1"/>
  <c r="AH303" i="16"/>
  <c r="K304" i="16"/>
  <c r="AG304" i="16"/>
  <c r="AH304" i="16" s="1"/>
  <c r="K305" i="16"/>
  <c r="AG305" i="16" s="1"/>
  <c r="H305" i="16"/>
  <c r="K306" i="16"/>
  <c r="AG306" i="16" s="1"/>
  <c r="AH306" i="16"/>
  <c r="K307" i="16"/>
  <c r="AG307" i="16"/>
  <c r="AH307" i="16" s="1"/>
  <c r="K308" i="16"/>
  <c r="AG308" i="16" s="1"/>
  <c r="AH308" i="16"/>
  <c r="K309" i="16"/>
  <c r="AG309" i="16"/>
  <c r="H309" i="16"/>
  <c r="AH309" i="16"/>
  <c r="K310" i="16"/>
  <c r="AG310" i="16"/>
  <c r="AH310" i="16" s="1"/>
  <c r="K311" i="16"/>
  <c r="AG311" i="16" s="1"/>
  <c r="AH311" i="16"/>
  <c r="K312" i="16"/>
  <c r="AG312" i="16"/>
  <c r="AH312" i="16" s="1"/>
  <c r="K313" i="16"/>
  <c r="AG313" i="16" s="1"/>
  <c r="AH313" i="16"/>
  <c r="K314" i="16"/>
  <c r="AG314" i="16"/>
  <c r="AH314" i="16" s="1"/>
  <c r="K315" i="16"/>
  <c r="AG315" i="16" s="1"/>
  <c r="AH315" i="16"/>
  <c r="K316" i="16"/>
  <c r="AG316" i="16"/>
  <c r="AH316" i="16" s="1"/>
  <c r="K317" i="16"/>
  <c r="AG317" i="16" s="1"/>
  <c r="AH317" i="16"/>
  <c r="K318" i="16"/>
  <c r="AG318" i="16"/>
  <c r="AH318" i="16" s="1"/>
  <c r="K319" i="16"/>
  <c r="AG319" i="16" s="1"/>
  <c r="AH319" i="16"/>
  <c r="K320" i="16"/>
  <c r="AG320" i="16"/>
  <c r="AH320" i="16" s="1"/>
  <c r="K323" i="16"/>
  <c r="AG323" i="16"/>
  <c r="AH323" i="16" s="1"/>
  <c r="K324" i="16"/>
  <c r="AG324" i="16" s="1"/>
  <c r="AH324" i="16" s="1"/>
  <c r="K325" i="16"/>
  <c r="AG325" i="16"/>
  <c r="AH325" i="16" s="1"/>
  <c r="K326" i="16"/>
  <c r="AG326" i="16" s="1"/>
  <c r="AH326" i="16" s="1"/>
  <c r="K327" i="16"/>
  <c r="AG327" i="16"/>
  <c r="AH327" i="16" s="1"/>
  <c r="K328" i="16"/>
  <c r="AG328" i="16" s="1"/>
  <c r="AH328" i="16" s="1"/>
  <c r="K329" i="16"/>
  <c r="AG329" i="16"/>
  <c r="AH329" i="16" s="1"/>
  <c r="K330" i="16"/>
  <c r="AG330" i="16" s="1"/>
  <c r="AH330" i="16" s="1"/>
  <c r="K331" i="16"/>
  <c r="AG331" i="16"/>
  <c r="AH331" i="16" s="1"/>
  <c r="K332" i="16"/>
  <c r="AG332" i="16" s="1"/>
  <c r="AH332" i="16" s="1"/>
  <c r="K333" i="16"/>
  <c r="AG333" i="16"/>
  <c r="AH333" i="16" s="1"/>
  <c r="K334" i="16"/>
  <c r="AG334" i="16" s="1"/>
  <c r="AH334" i="16" s="1"/>
  <c r="K335" i="16"/>
  <c r="AG335" i="16"/>
  <c r="AH335" i="16" s="1"/>
  <c r="K336" i="16"/>
  <c r="AG336" i="16" s="1"/>
  <c r="AH336" i="16" s="1"/>
  <c r="K337" i="16"/>
  <c r="AG337" i="16"/>
  <c r="AH337" i="16" s="1"/>
  <c r="K338" i="16"/>
  <c r="AG338" i="16" s="1"/>
  <c r="AH338" i="16" s="1"/>
  <c r="K339" i="16"/>
  <c r="AG339" i="16"/>
  <c r="AH339" i="16" s="1"/>
  <c r="K340" i="16"/>
  <c r="AG340" i="16" s="1"/>
  <c r="AH340" i="16" s="1"/>
  <c r="K341" i="16"/>
  <c r="AG341" i="16"/>
  <c r="AH341" i="16" s="1"/>
  <c r="K344" i="16"/>
  <c r="AG344" i="16"/>
  <c r="AH344" i="16" s="1"/>
  <c r="K345" i="16"/>
  <c r="AG345" i="16" s="1"/>
  <c r="AH345" i="16"/>
  <c r="K346" i="16"/>
  <c r="AG346" i="16"/>
  <c r="AH346" i="16" s="1"/>
  <c r="K347" i="16"/>
  <c r="AG347" i="16" s="1"/>
  <c r="AH347" i="16"/>
  <c r="K348" i="16"/>
  <c r="AG348" i="16"/>
  <c r="AH348" i="16" s="1"/>
  <c r="K349" i="16"/>
  <c r="AG349" i="16" s="1"/>
  <c r="AH349" i="16"/>
  <c r="K350" i="16"/>
  <c r="AG350" i="16"/>
  <c r="AH350" i="16" s="1"/>
  <c r="K351" i="16"/>
  <c r="AG351" i="16" s="1"/>
  <c r="AH351" i="16"/>
  <c r="K354" i="16"/>
  <c r="AG354" i="16" s="1"/>
  <c r="AH354" i="16"/>
  <c r="K355" i="16"/>
  <c r="AG355" i="16"/>
  <c r="AH355" i="16" s="1"/>
  <c r="K356" i="16"/>
  <c r="AG356" i="16" s="1"/>
  <c r="AH356" i="16"/>
  <c r="K357" i="16"/>
  <c r="AG357" i="16"/>
  <c r="AH357" i="16" s="1"/>
  <c r="K361" i="16"/>
  <c r="AG361" i="16"/>
  <c r="AH361" i="16" s="1"/>
  <c r="K362" i="16"/>
  <c r="AG362" i="16" s="1"/>
  <c r="AH362" i="16" s="1"/>
  <c r="K363" i="16"/>
  <c r="AG363" i="16"/>
  <c r="AH363" i="16" s="1"/>
  <c r="K364" i="16"/>
  <c r="AG364" i="16" s="1"/>
  <c r="AH364" i="16" s="1"/>
  <c r="K365" i="16"/>
  <c r="AG365" i="16"/>
  <c r="AH365" i="16" s="1"/>
  <c r="K366" i="16"/>
  <c r="AG366" i="16" s="1"/>
  <c r="AH366" i="16" s="1"/>
  <c r="K367" i="16"/>
  <c r="AG367" i="16"/>
  <c r="AH367" i="16" s="1"/>
  <c r="K368" i="16"/>
  <c r="AG368" i="16" s="1"/>
  <c r="AH368" i="16" s="1"/>
  <c r="K369" i="16"/>
  <c r="AG369" i="16"/>
  <c r="AH369" i="16" s="1"/>
  <c r="K370" i="16"/>
  <c r="AG370" i="16" s="1"/>
  <c r="AH370" i="16" s="1"/>
  <c r="K371" i="16"/>
  <c r="AG371" i="16"/>
  <c r="AH371" i="16" s="1"/>
  <c r="K372" i="16"/>
  <c r="AG372" i="16" s="1"/>
  <c r="AH372" i="16" s="1"/>
  <c r="K373" i="16"/>
  <c r="AG373" i="16"/>
  <c r="AH373" i="16" s="1"/>
  <c r="K374" i="16"/>
  <c r="AG374" i="16" s="1"/>
  <c r="AH374" i="16" s="1"/>
  <c r="K377" i="16"/>
  <c r="K378" i="16"/>
  <c r="AG378" i="16"/>
  <c r="AH378" i="16" s="1"/>
  <c r="K381" i="16"/>
  <c r="AG381" i="16"/>
  <c r="AH381" i="16" s="1"/>
  <c r="AH380" i="16" s="1"/>
  <c r="K382" i="16"/>
  <c r="AG382" i="16" s="1"/>
  <c r="AH382" i="16"/>
  <c r="K383" i="16"/>
  <c r="AG383" i="16"/>
  <c r="AH383" i="16" s="1"/>
  <c r="K384" i="16"/>
  <c r="AG384" i="16" s="1"/>
  <c r="AH384" i="16"/>
  <c r="K385" i="16"/>
  <c r="AG385" i="16"/>
  <c r="AH385" i="16" s="1"/>
  <c r="K386" i="16"/>
  <c r="AG386" i="16" s="1"/>
  <c r="AH386" i="16"/>
  <c r="K387" i="16"/>
  <c r="AG387" i="16"/>
  <c r="AH387" i="16" s="1"/>
  <c r="K388" i="16"/>
  <c r="AG388" i="16" s="1"/>
  <c r="AH388" i="16"/>
  <c r="K389" i="16"/>
  <c r="AG389" i="16"/>
  <c r="AH389" i="16" s="1"/>
  <c r="K390" i="16"/>
  <c r="AG390" i="16" s="1"/>
  <c r="AH390" i="16"/>
  <c r="K391" i="16"/>
  <c r="AG391" i="16"/>
  <c r="AH391" i="16" s="1"/>
  <c r="K392" i="16"/>
  <c r="AG392" i="16" s="1"/>
  <c r="AH392" i="16"/>
  <c r="K393" i="16"/>
  <c r="AG393" i="16"/>
  <c r="AH393" i="16" s="1"/>
  <c r="K394" i="16"/>
  <c r="AG394" i="16" s="1"/>
  <c r="AH394" i="16"/>
  <c r="K395" i="16"/>
  <c r="AG395" i="16"/>
  <c r="AH395" i="16" s="1"/>
  <c r="K399" i="16"/>
  <c r="AG399" i="16"/>
  <c r="AH399" i="16" s="1"/>
  <c r="K400" i="16"/>
  <c r="AG400" i="16" s="1"/>
  <c r="AH400" i="16" s="1"/>
  <c r="K401" i="16"/>
  <c r="AG401" i="16"/>
  <c r="AH401" i="16" s="1"/>
  <c r="K402" i="16"/>
  <c r="AG402" i="16" s="1"/>
  <c r="AH402" i="16" s="1"/>
  <c r="K403" i="16"/>
  <c r="AG403" i="16"/>
  <c r="AH403" i="16" s="1"/>
  <c r="K404" i="16"/>
  <c r="AG404" i="16" s="1"/>
  <c r="AH404" i="16" s="1"/>
  <c r="K405" i="16"/>
  <c r="AG405" i="16"/>
  <c r="AH405" i="16" s="1"/>
  <c r="K406" i="16"/>
  <c r="AG406" i="16" s="1"/>
  <c r="AH406" i="16" s="1"/>
  <c r="K407" i="16"/>
  <c r="AG407" i="16"/>
  <c r="AH407" i="16" s="1"/>
  <c r="K408" i="16"/>
  <c r="AG408" i="16" s="1"/>
  <c r="AH408" i="16" s="1"/>
  <c r="K409" i="16"/>
  <c r="AG409" i="16"/>
  <c r="AH409" i="16" s="1"/>
  <c r="K410" i="16"/>
  <c r="AG410" i="16" s="1"/>
  <c r="AH410" i="16" s="1"/>
  <c r="K411" i="16"/>
  <c r="AG411" i="16"/>
  <c r="AH411" i="16" s="1"/>
  <c r="K412" i="16"/>
  <c r="AG412" i="16" s="1"/>
  <c r="AH412" i="16" s="1"/>
  <c r="K413" i="16"/>
  <c r="AG413" i="16"/>
  <c r="AH413" i="16" s="1"/>
  <c r="K414" i="16"/>
  <c r="AG414" i="16" s="1"/>
  <c r="AH414" i="16" s="1"/>
  <c r="K415" i="16"/>
  <c r="AG415" i="16"/>
  <c r="AH415" i="16" s="1"/>
  <c r="K416" i="16"/>
  <c r="AG416" i="16" s="1"/>
  <c r="AH416" i="16" s="1"/>
  <c r="K417" i="16"/>
  <c r="AG417" i="16"/>
  <c r="AH417" i="16" s="1"/>
  <c r="K418" i="16"/>
  <c r="AG418" i="16" s="1"/>
  <c r="AH418" i="16" s="1"/>
  <c r="K419" i="16"/>
  <c r="AG419" i="16"/>
  <c r="AH419" i="16" s="1"/>
  <c r="K420" i="16"/>
  <c r="AG420" i="16" s="1"/>
  <c r="AH420" i="16" s="1"/>
  <c r="K421" i="16"/>
  <c r="AG421" i="16" s="1"/>
  <c r="AH421" i="16" s="1"/>
  <c r="K422" i="16"/>
  <c r="AG422" i="16"/>
  <c r="AH422" i="16" s="1"/>
  <c r="K423" i="16"/>
  <c r="AG423" i="16" s="1"/>
  <c r="AH423" i="16" s="1"/>
  <c r="K424" i="16"/>
  <c r="AG424" i="16"/>
  <c r="AH424" i="16" s="1"/>
  <c r="AH398" i="16"/>
  <c r="K427" i="16"/>
  <c r="AG427" i="16"/>
  <c r="AH427" i="16" s="1"/>
  <c r="K428" i="16"/>
  <c r="AG428" i="16" s="1"/>
  <c r="AH428" i="16" s="1"/>
  <c r="K429" i="16"/>
  <c r="AG429" i="16"/>
  <c r="AH429" i="16" s="1"/>
  <c r="K430" i="16"/>
  <c r="AG430" i="16" s="1"/>
  <c r="AH430" i="16" s="1"/>
  <c r="K431" i="16"/>
  <c r="AG431" i="16"/>
  <c r="AH431" i="16" s="1"/>
  <c r="K432" i="16"/>
  <c r="K433" i="16"/>
  <c r="AG433" i="16"/>
  <c r="AH433" i="16" s="1"/>
  <c r="K434" i="16"/>
  <c r="AG434" i="16" s="1"/>
  <c r="AH434" i="16"/>
  <c r="K435" i="16"/>
  <c r="AG435" i="16"/>
  <c r="AH435" i="16" s="1"/>
  <c r="K436" i="16"/>
  <c r="K437" i="16"/>
  <c r="AG437" i="16"/>
  <c r="AH437" i="16" s="1"/>
  <c r="K438" i="16"/>
  <c r="AG438" i="16" s="1"/>
  <c r="AH438" i="16" s="1"/>
  <c r="K439" i="16"/>
  <c r="AG439" i="16"/>
  <c r="AH439" i="16" s="1"/>
  <c r="K440" i="16"/>
  <c r="K441" i="16"/>
  <c r="AG441" i="16"/>
  <c r="AH441" i="16" s="1"/>
  <c r="K442" i="16"/>
  <c r="AG442" i="16" s="1"/>
  <c r="AH442" i="16"/>
  <c r="K443" i="16"/>
  <c r="AG443" i="16"/>
  <c r="AH443" i="16" s="1"/>
  <c r="K444" i="16"/>
  <c r="AG444" i="16" s="1"/>
  <c r="AH444" i="16" s="1"/>
  <c r="K445" i="16"/>
  <c r="AG445" i="16"/>
  <c r="AH445" i="16" s="1"/>
  <c r="K446" i="16"/>
  <c r="AG446" i="16" s="1"/>
  <c r="AH446" i="16" s="1"/>
  <c r="K447" i="16"/>
  <c r="AG447" i="16"/>
  <c r="AH447" i="16" s="1"/>
  <c r="K448" i="16"/>
  <c r="K449" i="16"/>
  <c r="AG449" i="16"/>
  <c r="AH449" i="16" s="1"/>
  <c r="K450" i="16"/>
  <c r="AG450" i="16" s="1"/>
  <c r="AH450" i="16"/>
  <c r="K451" i="16"/>
  <c r="AG451" i="16"/>
  <c r="AH451" i="16" s="1"/>
  <c r="K452" i="16"/>
  <c r="K453" i="16"/>
  <c r="AG453" i="16"/>
  <c r="AH453" i="16" s="1"/>
  <c r="K456" i="16"/>
  <c r="AG456" i="16"/>
  <c r="AH456" i="16" s="1"/>
  <c r="K457" i="16"/>
  <c r="AG457" i="16" s="1"/>
  <c r="AH457" i="16" s="1"/>
  <c r="K458" i="16"/>
  <c r="AG458" i="16"/>
  <c r="AH458" i="16" s="1"/>
  <c r="K459" i="16"/>
  <c r="K460" i="16"/>
  <c r="AG460" i="16"/>
  <c r="AH460" i="16" s="1"/>
  <c r="K461" i="16"/>
  <c r="AG461" i="16" s="1"/>
  <c r="AH461" i="16"/>
  <c r="K462" i="16"/>
  <c r="AG462" i="16"/>
  <c r="AH462" i="16" s="1"/>
  <c r="K463" i="16"/>
  <c r="AG463" i="16" s="1"/>
  <c r="AH463" i="16" s="1"/>
  <c r="K464" i="16"/>
  <c r="AG464" i="16"/>
  <c r="AH464" i="16" s="1"/>
  <c r="K465" i="16"/>
  <c r="AG465" i="16" s="1"/>
  <c r="AH465" i="16" s="1"/>
  <c r="K466" i="16"/>
  <c r="AG466" i="16"/>
  <c r="AH466" i="16" s="1"/>
  <c r="K467" i="16"/>
  <c r="AG467" i="16" s="1"/>
  <c r="AH467" i="16" s="1"/>
  <c r="K468" i="16"/>
  <c r="AG468" i="16"/>
  <c r="AH468" i="16" s="1"/>
  <c r="K469" i="16"/>
  <c r="AG469" i="16" s="1"/>
  <c r="AH469" i="16"/>
  <c r="K470" i="16"/>
  <c r="AG470" i="16"/>
  <c r="AH470" i="16" s="1"/>
  <c r="K471" i="16"/>
  <c r="AG471" i="16" s="1"/>
  <c r="AH471" i="16" s="1"/>
  <c r="K472" i="16"/>
  <c r="AG472" i="16"/>
  <c r="AH472" i="16" s="1"/>
  <c r="K473" i="16"/>
  <c r="AG473" i="16" s="1"/>
  <c r="AH473" i="16" s="1"/>
  <c r="K474" i="16"/>
  <c r="AG474" i="16"/>
  <c r="AH474" i="16" s="1"/>
  <c r="K475" i="16"/>
  <c r="AG475" i="16" s="1"/>
  <c r="AH475" i="16" s="1"/>
  <c r="K476" i="16"/>
  <c r="AG476" i="16"/>
  <c r="AH476" i="16" s="1"/>
  <c r="K477" i="16"/>
  <c r="AG477" i="16" s="1"/>
  <c r="AH477" i="16"/>
  <c r="K480" i="16"/>
  <c r="AG480" i="16" s="1"/>
  <c r="AH480" i="16"/>
  <c r="K481" i="16"/>
  <c r="AG481" i="16"/>
  <c r="AH481" i="16" s="1"/>
  <c r="K482" i="16"/>
  <c r="AG482" i="16" s="1"/>
  <c r="AH482" i="16" s="1"/>
  <c r="K483" i="16"/>
  <c r="AG483" i="16"/>
  <c r="AH483" i="16" s="1"/>
  <c r="K484" i="16"/>
  <c r="AG484" i="16" s="1"/>
  <c r="AH484" i="16" s="1"/>
  <c r="K485" i="16"/>
  <c r="AG485" i="16"/>
  <c r="AH485" i="16" s="1"/>
  <c r="K486" i="16"/>
  <c r="K487" i="16"/>
  <c r="AG487" i="16"/>
  <c r="AH487" i="16" s="1"/>
  <c r="K488" i="16"/>
  <c r="AG488" i="16" s="1"/>
  <c r="AH488" i="16"/>
  <c r="K489" i="16"/>
  <c r="AG489" i="16"/>
  <c r="AH489" i="16" s="1"/>
  <c r="K490" i="16"/>
  <c r="K491" i="16"/>
  <c r="AG491" i="16"/>
  <c r="AH491" i="16" s="1"/>
  <c r="K492" i="16"/>
  <c r="AG492" i="16" s="1"/>
  <c r="AH492" i="16" s="1"/>
  <c r="K493" i="16"/>
  <c r="AG493" i="16"/>
  <c r="AH493" i="16" s="1"/>
  <c r="K494" i="16"/>
  <c r="AG494" i="16" s="1"/>
  <c r="AH494" i="16" s="1"/>
  <c r="K495" i="16"/>
  <c r="AG495" i="16"/>
  <c r="AH495" i="16" s="1"/>
  <c r="K496" i="16"/>
  <c r="AG496" i="16" s="1"/>
  <c r="AH496" i="16"/>
  <c r="K497" i="16"/>
  <c r="AG497" i="16"/>
  <c r="AH497" i="16" s="1"/>
  <c r="K498" i="16"/>
  <c r="AG498" i="16" s="1"/>
  <c r="AH498" i="16" s="1"/>
  <c r="K499" i="16"/>
  <c r="AG499" i="16"/>
  <c r="AH499" i="16" s="1"/>
  <c r="K500" i="16"/>
  <c r="AG500" i="16" s="1"/>
  <c r="AH500" i="16" s="1"/>
  <c r="K501" i="16"/>
  <c r="AG501" i="16"/>
  <c r="AH501" i="16" s="1"/>
  <c r="K504" i="16"/>
  <c r="AG504" i="16"/>
  <c r="H504" i="16"/>
  <c r="AH504" i="16"/>
  <c r="K505" i="16"/>
  <c r="AG505" i="16"/>
  <c r="AH505" i="16" s="1"/>
  <c r="K506" i="16"/>
  <c r="AG506" i="16" s="1"/>
  <c r="AH506" i="16" s="1"/>
  <c r="K507" i="16"/>
  <c r="AG507" i="16"/>
  <c r="AH507" i="16" s="1"/>
  <c r="K508" i="16"/>
  <c r="AG508" i="16" s="1"/>
  <c r="AH508" i="16" s="1"/>
  <c r="K509" i="16"/>
  <c r="AG509" i="16"/>
  <c r="AH509" i="16" s="1"/>
  <c r="K510" i="16"/>
  <c r="AG510" i="16" s="1"/>
  <c r="AH510" i="16" s="1"/>
  <c r="K511" i="16"/>
  <c r="AG511" i="16"/>
  <c r="AH511" i="16" s="1"/>
  <c r="K512" i="16"/>
  <c r="AG512" i="16" s="1"/>
  <c r="AH512" i="16"/>
  <c r="K513" i="16"/>
  <c r="AG513" i="16"/>
  <c r="AH513" i="16" s="1"/>
  <c r="K514" i="16"/>
  <c r="AG514" i="16" s="1"/>
  <c r="AH514" i="16" s="1"/>
  <c r="K515" i="16"/>
  <c r="AG515" i="16"/>
  <c r="AH515" i="16" s="1"/>
  <c r="K516" i="16"/>
  <c r="AG516" i="16" s="1"/>
  <c r="AH516" i="16" s="1"/>
  <c r="K517" i="16"/>
  <c r="AG517" i="16"/>
  <c r="AH517" i="16" s="1"/>
  <c r="K518" i="16"/>
  <c r="AG518" i="16" s="1"/>
  <c r="AH518" i="16" s="1"/>
  <c r="K519" i="16"/>
  <c r="AG519" i="16"/>
  <c r="AH519" i="16" s="1"/>
  <c r="K520" i="16"/>
  <c r="AG520" i="16" s="1"/>
  <c r="H520" i="16"/>
  <c r="K521" i="16"/>
  <c r="AG521" i="16" s="1"/>
  <c r="AH521" i="16"/>
  <c r="K522" i="16"/>
  <c r="AG522" i="16"/>
  <c r="AH522" i="16" s="1"/>
  <c r="AG523" i="16"/>
  <c r="AH523" i="16" s="1"/>
  <c r="AH633" i="16"/>
  <c r="AH632" i="16"/>
  <c r="AG637" i="16"/>
  <c r="AH637" i="16"/>
  <c r="AH636" i="16" s="1"/>
  <c r="AG641" i="16"/>
  <c r="AH641" i="16" s="1"/>
  <c r="AH640" i="16" s="1"/>
  <c r="AG645" i="16"/>
  <c r="AH645" i="16"/>
  <c r="AG646" i="16"/>
  <c r="AH646" i="16"/>
  <c r="AG647" i="16"/>
  <c r="AH647" i="16"/>
  <c r="AG648" i="16"/>
  <c r="AH648" i="16"/>
  <c r="Q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608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6" i="7"/>
  <c r="Q357" i="7"/>
  <c r="Q610" i="7" s="1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M6" i="7"/>
  <c r="M7" i="7"/>
  <c r="M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609" i="7"/>
  <c r="M356" i="7"/>
  <c r="M357" i="7"/>
  <c r="M610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L13" i="16"/>
  <c r="P13" i="16"/>
  <c r="L14" i="16"/>
  <c r="P14" i="16" s="1"/>
  <c r="L17" i="16"/>
  <c r="P17" i="16"/>
  <c r="L18" i="16"/>
  <c r="P18" i="16"/>
  <c r="L19" i="16"/>
  <c r="P19" i="16"/>
  <c r="L20" i="16"/>
  <c r="P20" i="16"/>
  <c r="L22" i="16"/>
  <c r="P22" i="16"/>
  <c r="L24" i="16"/>
  <c r="P24" i="16" s="1"/>
  <c r="L25" i="16"/>
  <c r="P25" i="16"/>
  <c r="L26" i="16"/>
  <c r="P26" i="16" s="1"/>
  <c r="L27" i="16"/>
  <c r="P27" i="16"/>
  <c r="L28" i="16"/>
  <c r="P28" i="16" s="1"/>
  <c r="L29" i="16"/>
  <c r="P29" i="16"/>
  <c r="L30" i="16"/>
  <c r="P30" i="16" s="1"/>
  <c r="L32" i="16"/>
  <c r="P32" i="16"/>
  <c r="L33" i="16"/>
  <c r="P33" i="16"/>
  <c r="L34" i="16"/>
  <c r="P34" i="16"/>
  <c r="L35" i="16"/>
  <c r="P35" i="16"/>
  <c r="L36" i="16"/>
  <c r="P36" i="16"/>
  <c r="L37" i="16"/>
  <c r="P37" i="16"/>
  <c r="L40" i="16"/>
  <c r="P40" i="16" s="1"/>
  <c r="L41" i="16"/>
  <c r="P41" i="16"/>
  <c r="L42" i="16"/>
  <c r="P42" i="16" s="1"/>
  <c r="L43" i="16"/>
  <c r="P43" i="16" s="1"/>
  <c r="L44" i="16"/>
  <c r="P44" i="16" s="1"/>
  <c r="L45" i="16"/>
  <c r="P45" i="16"/>
  <c r="L46" i="16"/>
  <c r="P46" i="16" s="1"/>
  <c r="L47" i="16"/>
  <c r="P47" i="16" s="1"/>
  <c r="L48" i="16"/>
  <c r="P48" i="16" s="1"/>
  <c r="L49" i="16"/>
  <c r="P49" i="16"/>
  <c r="L50" i="16"/>
  <c r="P50" i="16" s="1"/>
  <c r="P39" i="16"/>
  <c r="L53" i="16"/>
  <c r="P53" i="16"/>
  <c r="L54" i="16"/>
  <c r="P54" i="16"/>
  <c r="L55" i="16"/>
  <c r="P55" i="16"/>
  <c r="L56" i="16"/>
  <c r="P56" i="16"/>
  <c r="L57" i="16"/>
  <c r="P57" i="16"/>
  <c r="L58" i="16"/>
  <c r="P58" i="16"/>
  <c r="L59" i="16"/>
  <c r="P59" i="16"/>
  <c r="L60" i="16"/>
  <c r="P60" i="16"/>
  <c r="L61" i="16"/>
  <c r="P61" i="16"/>
  <c r="L62" i="16"/>
  <c r="P62" i="16"/>
  <c r="L63" i="16"/>
  <c r="P63" i="16"/>
  <c r="L64" i="16"/>
  <c r="P64" i="16"/>
  <c r="H65" i="16"/>
  <c r="L65" i="16"/>
  <c r="P65" i="16" s="1"/>
  <c r="L66" i="16"/>
  <c r="P66" i="16"/>
  <c r="L67" i="16"/>
  <c r="P67" i="16" s="1"/>
  <c r="L68" i="16"/>
  <c r="P68" i="16" s="1"/>
  <c r="L69" i="16"/>
  <c r="P69" i="16" s="1"/>
  <c r="L70" i="16"/>
  <c r="P70" i="16"/>
  <c r="L71" i="16"/>
  <c r="P71" i="16" s="1"/>
  <c r="H72" i="16"/>
  <c r="L72" i="16" s="1"/>
  <c r="P72" i="16"/>
  <c r="L73" i="16"/>
  <c r="P73" i="16"/>
  <c r="L74" i="16"/>
  <c r="P74" i="16"/>
  <c r="L75" i="16"/>
  <c r="P75" i="16"/>
  <c r="L76" i="16"/>
  <c r="P76" i="16"/>
  <c r="H77" i="16"/>
  <c r="L77" i="16"/>
  <c r="P77" i="16" s="1"/>
  <c r="L78" i="16"/>
  <c r="P78" i="16" s="1"/>
  <c r="L81" i="16"/>
  <c r="P81" i="16" s="1"/>
  <c r="L82" i="16"/>
  <c r="P82" i="16"/>
  <c r="L83" i="16"/>
  <c r="P83" i="16" s="1"/>
  <c r="L84" i="16"/>
  <c r="P84" i="16"/>
  <c r="L85" i="16"/>
  <c r="P85" i="16" s="1"/>
  <c r="L86" i="16"/>
  <c r="P86" i="16"/>
  <c r="L87" i="16"/>
  <c r="P87" i="16" s="1"/>
  <c r="L88" i="16"/>
  <c r="P88" i="16"/>
  <c r="L89" i="16"/>
  <c r="P89" i="16" s="1"/>
  <c r="L90" i="16"/>
  <c r="P90" i="16"/>
  <c r="L91" i="16"/>
  <c r="P91" i="16" s="1"/>
  <c r="L92" i="16"/>
  <c r="P92" i="16"/>
  <c r="L93" i="16"/>
  <c r="P93" i="16" s="1"/>
  <c r="L94" i="16"/>
  <c r="P94" i="16"/>
  <c r="L95" i="16"/>
  <c r="P95" i="16" s="1"/>
  <c r="L96" i="16"/>
  <c r="P96" i="16"/>
  <c r="L97" i="16"/>
  <c r="P97" i="16" s="1"/>
  <c r="L98" i="16"/>
  <c r="P98" i="16"/>
  <c r="L100" i="16"/>
  <c r="P100" i="16" s="1"/>
  <c r="L102" i="16"/>
  <c r="P102" i="16"/>
  <c r="L103" i="16"/>
  <c r="P103" i="16"/>
  <c r="L104" i="16"/>
  <c r="P104" i="16"/>
  <c r="L105" i="16"/>
  <c r="P105" i="16"/>
  <c r="L106" i="16"/>
  <c r="P106" i="16"/>
  <c r="L108" i="16"/>
  <c r="P108" i="16" s="1"/>
  <c r="L110" i="16"/>
  <c r="P110" i="16"/>
  <c r="L112" i="16"/>
  <c r="P112" i="16"/>
  <c r="L113" i="16"/>
  <c r="P113" i="16"/>
  <c r="L114" i="16"/>
  <c r="P114" i="16"/>
  <c r="L115" i="16"/>
  <c r="P115" i="16"/>
  <c r="L116" i="16"/>
  <c r="P116" i="16"/>
  <c r="L117" i="16"/>
  <c r="P117" i="16"/>
  <c r="L118" i="16"/>
  <c r="P118" i="16"/>
  <c r="L119" i="16"/>
  <c r="P119" i="16"/>
  <c r="L120" i="16"/>
  <c r="P120" i="16"/>
  <c r="L121" i="16"/>
  <c r="P121" i="16"/>
  <c r="L123" i="16"/>
  <c r="P123" i="16"/>
  <c r="L124" i="16"/>
  <c r="P124" i="16"/>
  <c r="L127" i="16"/>
  <c r="P127" i="16"/>
  <c r="P126" i="16" s="1"/>
  <c r="L130" i="16"/>
  <c r="P130" i="16"/>
  <c r="L131" i="16"/>
  <c r="P131" i="16" s="1"/>
  <c r="L132" i="16"/>
  <c r="P132" i="16"/>
  <c r="L133" i="16"/>
  <c r="P133" i="16" s="1"/>
  <c r="L135" i="16"/>
  <c r="P135" i="16"/>
  <c r="L136" i="16"/>
  <c r="P136" i="16" s="1"/>
  <c r="L137" i="16"/>
  <c r="P137" i="16"/>
  <c r="L138" i="16"/>
  <c r="P138" i="16" s="1"/>
  <c r="L139" i="16"/>
  <c r="P139" i="16"/>
  <c r="L140" i="16"/>
  <c r="P140" i="16" s="1"/>
  <c r="L141" i="16"/>
  <c r="P141" i="16"/>
  <c r="L142" i="16"/>
  <c r="P142" i="16" s="1"/>
  <c r="L143" i="16"/>
  <c r="P143" i="16"/>
  <c r="L144" i="16"/>
  <c r="P144" i="16" s="1"/>
  <c r="L145" i="16"/>
  <c r="P145" i="16"/>
  <c r="L146" i="16"/>
  <c r="P146" i="16" s="1"/>
  <c r="L147" i="16"/>
  <c r="P147" i="16"/>
  <c r="L148" i="16"/>
  <c r="P148" i="16" s="1"/>
  <c r="L149" i="16"/>
  <c r="P149" i="16"/>
  <c r="L150" i="16"/>
  <c r="P150" i="16" s="1"/>
  <c r="L151" i="16"/>
  <c r="P151" i="16"/>
  <c r="L152" i="16"/>
  <c r="P152" i="16" s="1"/>
  <c r="L153" i="16"/>
  <c r="P153" i="16"/>
  <c r="L154" i="16"/>
  <c r="P154" i="16" s="1"/>
  <c r="L155" i="16"/>
  <c r="P155" i="16"/>
  <c r="L156" i="16"/>
  <c r="P156" i="16" s="1"/>
  <c r="L157" i="16"/>
  <c r="P157" i="16"/>
  <c r="L158" i="16"/>
  <c r="P158" i="16" s="1"/>
  <c r="L159" i="16"/>
  <c r="P159" i="16"/>
  <c r="L160" i="16"/>
  <c r="P160" i="16" s="1"/>
  <c r="L161" i="16"/>
  <c r="P161" i="16"/>
  <c r="L162" i="16"/>
  <c r="P162" i="16" s="1"/>
  <c r="L163" i="16"/>
  <c r="P163" i="16"/>
  <c r="L164" i="16"/>
  <c r="P164" i="16" s="1"/>
  <c r="L165" i="16"/>
  <c r="P165" i="16"/>
  <c r="L166" i="16"/>
  <c r="P166" i="16" s="1"/>
  <c r="L167" i="16"/>
  <c r="P167" i="16"/>
  <c r="L168" i="16"/>
  <c r="P168" i="16" s="1"/>
  <c r="L169" i="16"/>
  <c r="P169" i="16"/>
  <c r="L170" i="16"/>
  <c r="P170" i="16" s="1"/>
  <c r="L171" i="16"/>
  <c r="P171" i="16"/>
  <c r="L172" i="16"/>
  <c r="P172" i="16" s="1"/>
  <c r="L173" i="16"/>
  <c r="P173" i="16"/>
  <c r="L174" i="16"/>
  <c r="P174" i="16" s="1"/>
  <c r="L175" i="16"/>
  <c r="P175" i="16"/>
  <c r="L176" i="16"/>
  <c r="P176" i="16" s="1"/>
  <c r="L177" i="16"/>
  <c r="P177" i="16"/>
  <c r="L178" i="16"/>
  <c r="P178" i="16" s="1"/>
  <c r="L179" i="16"/>
  <c r="P179" i="16"/>
  <c r="L180" i="16"/>
  <c r="P180" i="16" s="1"/>
  <c r="L181" i="16"/>
  <c r="P181" i="16"/>
  <c r="L182" i="16"/>
  <c r="P182" i="16" s="1"/>
  <c r="L183" i="16"/>
  <c r="P183" i="16"/>
  <c r="L184" i="16"/>
  <c r="P184" i="16" s="1"/>
  <c r="L185" i="16"/>
  <c r="P185" i="16"/>
  <c r="L186" i="16"/>
  <c r="P186" i="16" s="1"/>
  <c r="L189" i="16"/>
  <c r="P189" i="16" s="1"/>
  <c r="L190" i="16"/>
  <c r="P190" i="16" s="1"/>
  <c r="L191" i="16"/>
  <c r="P191" i="16"/>
  <c r="P188" i="16" s="1"/>
  <c r="L192" i="16"/>
  <c r="P192" i="16" s="1"/>
  <c r="L193" i="16"/>
  <c r="P193" i="16" s="1"/>
  <c r="L194" i="16"/>
  <c r="P194" i="16" s="1"/>
  <c r="L195" i="16"/>
  <c r="P195" i="16"/>
  <c r="L197" i="16"/>
  <c r="P197" i="16" s="1"/>
  <c r="L198" i="16"/>
  <c r="P198" i="16" s="1"/>
  <c r="L199" i="16"/>
  <c r="P199" i="16" s="1"/>
  <c r="L200" i="16"/>
  <c r="P200" i="16"/>
  <c r="L201" i="16"/>
  <c r="P201" i="16" s="1"/>
  <c r="L202" i="16"/>
  <c r="P202" i="16" s="1"/>
  <c r="L203" i="16"/>
  <c r="P203" i="16" s="1"/>
  <c r="L204" i="16"/>
  <c r="P204" i="16"/>
  <c r="L205" i="16"/>
  <c r="P205" i="16" s="1"/>
  <c r="L206" i="16"/>
  <c r="P206" i="16" s="1"/>
  <c r="L207" i="16"/>
  <c r="P207" i="16" s="1"/>
  <c r="L208" i="16"/>
  <c r="P208" i="16"/>
  <c r="L209" i="16"/>
  <c r="P209" i="16" s="1"/>
  <c r="L210" i="16"/>
  <c r="P210" i="16" s="1"/>
  <c r="L211" i="16"/>
  <c r="P211" i="16" s="1"/>
  <c r="L212" i="16"/>
  <c r="P212" i="16"/>
  <c r="L213" i="16"/>
  <c r="P213" i="16" s="1"/>
  <c r="L214" i="16"/>
  <c r="P214" i="16" s="1"/>
  <c r="L215" i="16"/>
  <c r="P215" i="16" s="1"/>
  <c r="L216" i="16"/>
  <c r="P216" i="16"/>
  <c r="L217" i="16"/>
  <c r="P217" i="16" s="1"/>
  <c r="L218" i="16"/>
  <c r="P218" i="16" s="1"/>
  <c r="L219" i="16"/>
  <c r="P219" i="16" s="1"/>
  <c r="L220" i="16"/>
  <c r="P220" i="16"/>
  <c r="L221" i="16"/>
  <c r="P221" i="16" s="1"/>
  <c r="L222" i="16"/>
  <c r="P222" i="16" s="1"/>
  <c r="L225" i="16"/>
  <c r="P225" i="16"/>
  <c r="L226" i="16"/>
  <c r="P226" i="16"/>
  <c r="L227" i="16"/>
  <c r="P227" i="16"/>
  <c r="L228" i="16"/>
  <c r="P228" i="16"/>
  <c r="L229" i="16"/>
  <c r="P229" i="16"/>
  <c r="L230" i="16"/>
  <c r="P230" i="16"/>
  <c r="L231" i="16"/>
  <c r="P231" i="16"/>
  <c r="L232" i="16"/>
  <c r="P232" i="16"/>
  <c r="L233" i="16"/>
  <c r="P233" i="16"/>
  <c r="L234" i="16"/>
  <c r="P234" i="16"/>
  <c r="L236" i="16"/>
  <c r="P236" i="16"/>
  <c r="L237" i="16"/>
  <c r="P237" i="16"/>
  <c r="L238" i="16"/>
  <c r="P238" i="16"/>
  <c r="L239" i="16"/>
  <c r="P239" i="16"/>
  <c r="L240" i="16"/>
  <c r="P240" i="16"/>
  <c r="L241" i="16"/>
  <c r="P241" i="16"/>
  <c r="L242" i="16"/>
  <c r="P242" i="16"/>
  <c r="L243" i="16"/>
  <c r="P243" i="16"/>
  <c r="L244" i="16"/>
  <c r="P244" i="16"/>
  <c r="L245" i="16"/>
  <c r="P245" i="16"/>
  <c r="L246" i="16"/>
  <c r="P246" i="16"/>
  <c r="L247" i="16"/>
  <c r="P247" i="16"/>
  <c r="L248" i="16"/>
  <c r="P248" i="16"/>
  <c r="L249" i="16"/>
  <c r="P249" i="16"/>
  <c r="L250" i="16"/>
  <c r="P250" i="16"/>
  <c r="L251" i="16"/>
  <c r="P251" i="16"/>
  <c r="L252" i="16"/>
  <c r="P252" i="16"/>
  <c r="L253" i="16"/>
  <c r="P253" i="16"/>
  <c r="L254" i="16"/>
  <c r="P254" i="16"/>
  <c r="L257" i="16"/>
  <c r="P257" i="16" s="1"/>
  <c r="L258" i="16"/>
  <c r="P258" i="16"/>
  <c r="L260" i="16"/>
  <c r="P260" i="16" s="1"/>
  <c r="L261" i="16"/>
  <c r="P261" i="16" s="1"/>
  <c r="L262" i="16"/>
  <c r="P262" i="16"/>
  <c r="L264" i="16"/>
  <c r="P264" i="16" s="1"/>
  <c r="L265" i="16"/>
  <c r="P265" i="16" s="1"/>
  <c r="L267" i="16"/>
  <c r="P267" i="16"/>
  <c r="L268" i="16"/>
  <c r="P268" i="16" s="1"/>
  <c r="L269" i="16"/>
  <c r="P269" i="16" s="1"/>
  <c r="L270" i="16"/>
  <c r="P270" i="16" s="1"/>
  <c r="L271" i="16"/>
  <c r="P271" i="16"/>
  <c r="L272" i="16"/>
  <c r="P272" i="16" s="1"/>
  <c r="L273" i="16"/>
  <c r="P273" i="16" s="1"/>
  <c r="L274" i="16"/>
  <c r="P274" i="16" s="1"/>
  <c r="L275" i="16"/>
  <c r="P275" i="16"/>
  <c r="L276" i="16"/>
  <c r="P276" i="16" s="1"/>
  <c r="L277" i="16"/>
  <c r="P277" i="16" s="1"/>
  <c r="L278" i="16"/>
  <c r="P278" i="16" s="1"/>
  <c r="L279" i="16"/>
  <c r="P279" i="16"/>
  <c r="L280" i="16"/>
  <c r="P280" i="16" s="1"/>
  <c r="L281" i="16"/>
  <c r="P281" i="16" s="1"/>
  <c r="L282" i="16"/>
  <c r="P282" i="16" s="1"/>
  <c r="L283" i="16"/>
  <c r="P283" i="16"/>
  <c r="L286" i="16"/>
  <c r="P286" i="16"/>
  <c r="L287" i="16"/>
  <c r="P287" i="16" s="1"/>
  <c r="P285" i="16" s="1"/>
  <c r="L288" i="16"/>
  <c r="P288" i="16"/>
  <c r="L289" i="16"/>
  <c r="P289" i="16" s="1"/>
  <c r="L290" i="16"/>
  <c r="P290" i="16"/>
  <c r="L291" i="16"/>
  <c r="P291" i="16" s="1"/>
  <c r="L292" i="16"/>
  <c r="P292" i="16"/>
  <c r="L293" i="16"/>
  <c r="P293" i="16" s="1"/>
  <c r="L294" i="16"/>
  <c r="P294" i="16"/>
  <c r="L295" i="16"/>
  <c r="P295" i="16" s="1"/>
  <c r="L296" i="16"/>
  <c r="P296" i="16"/>
  <c r="L297" i="16"/>
  <c r="P297" i="16" s="1"/>
  <c r="L298" i="16"/>
  <c r="P298" i="16"/>
  <c r="L299" i="16"/>
  <c r="P299" i="16" s="1"/>
  <c r="L300" i="16"/>
  <c r="P300" i="16"/>
  <c r="L301" i="16"/>
  <c r="P301" i="16" s="1"/>
  <c r="L302" i="16"/>
  <c r="P302" i="16"/>
  <c r="L303" i="16"/>
  <c r="P303" i="16" s="1"/>
  <c r="L304" i="16"/>
  <c r="P304" i="16"/>
  <c r="L305" i="16"/>
  <c r="P305" i="16" s="1"/>
  <c r="L306" i="16"/>
  <c r="P306" i="16"/>
  <c r="L307" i="16"/>
  <c r="P307" i="16" s="1"/>
  <c r="L308" i="16"/>
  <c r="P308" i="16"/>
  <c r="L309" i="16"/>
  <c r="P309" i="16" s="1"/>
  <c r="L310" i="16"/>
  <c r="P310" i="16"/>
  <c r="L311" i="16"/>
  <c r="P311" i="16" s="1"/>
  <c r="L312" i="16"/>
  <c r="P312" i="16"/>
  <c r="L313" i="16"/>
  <c r="P313" i="16" s="1"/>
  <c r="L314" i="16"/>
  <c r="P314" i="16"/>
  <c r="L315" i="16"/>
  <c r="P315" i="16" s="1"/>
  <c r="L316" i="16"/>
  <c r="P316" i="16"/>
  <c r="L317" i="16"/>
  <c r="P317" i="16" s="1"/>
  <c r="L318" i="16"/>
  <c r="P318" i="16"/>
  <c r="L319" i="16"/>
  <c r="P319" i="16" s="1"/>
  <c r="L320" i="16"/>
  <c r="P320" i="16"/>
  <c r="L323" i="16"/>
  <c r="P323" i="16" s="1"/>
  <c r="L324" i="16"/>
  <c r="P324" i="16" s="1"/>
  <c r="L325" i="16"/>
  <c r="P325" i="16" s="1"/>
  <c r="L327" i="16"/>
  <c r="P327" i="16"/>
  <c r="L328" i="16"/>
  <c r="P328" i="16" s="1"/>
  <c r="L329" i="16"/>
  <c r="P329" i="16" s="1"/>
  <c r="L330" i="16"/>
  <c r="P330" i="16" s="1"/>
  <c r="L331" i="16"/>
  <c r="P331" i="16"/>
  <c r="L332" i="16"/>
  <c r="P332" i="16" s="1"/>
  <c r="L333" i="16"/>
  <c r="P333" i="16" s="1"/>
  <c r="L334" i="16"/>
  <c r="P334" i="16" s="1"/>
  <c r="L335" i="16"/>
  <c r="P335" i="16"/>
  <c r="L336" i="16"/>
  <c r="P336" i="16" s="1"/>
  <c r="L337" i="16"/>
  <c r="P337" i="16" s="1"/>
  <c r="L338" i="16"/>
  <c r="P338" i="16" s="1"/>
  <c r="L339" i="16"/>
  <c r="P339" i="16"/>
  <c r="L340" i="16"/>
  <c r="P340" i="16" s="1"/>
  <c r="L341" i="16"/>
  <c r="P341" i="16" s="1"/>
  <c r="P322" i="16"/>
  <c r="L344" i="16"/>
  <c r="P344" i="16"/>
  <c r="L345" i="16"/>
  <c r="P345" i="16"/>
  <c r="L346" i="16"/>
  <c r="P346" i="16"/>
  <c r="L347" i="16"/>
  <c r="P347" i="16"/>
  <c r="L348" i="16"/>
  <c r="P348" i="16"/>
  <c r="L349" i="16"/>
  <c r="P349" i="16"/>
  <c r="L350" i="16"/>
  <c r="P350" i="16"/>
  <c r="L351" i="16"/>
  <c r="P351" i="16"/>
  <c r="L354" i="16"/>
  <c r="P354" i="16"/>
  <c r="L355" i="16"/>
  <c r="P355" i="16" s="1"/>
  <c r="L356" i="16"/>
  <c r="P356" i="16" s="1"/>
  <c r="L357" i="16"/>
  <c r="P357" i="16" s="1"/>
  <c r="L361" i="16"/>
  <c r="P361" i="16" s="1"/>
  <c r="P360" i="16" s="1"/>
  <c r="L362" i="16"/>
  <c r="P362" i="16"/>
  <c r="L363" i="16"/>
  <c r="P363" i="16" s="1"/>
  <c r="L364" i="16"/>
  <c r="P364" i="16"/>
  <c r="L365" i="16"/>
  <c r="P365" i="16" s="1"/>
  <c r="L366" i="16"/>
  <c r="P366" i="16"/>
  <c r="L367" i="16"/>
  <c r="P367" i="16" s="1"/>
  <c r="L368" i="16"/>
  <c r="P368" i="16"/>
  <c r="L369" i="16"/>
  <c r="P369" i="16" s="1"/>
  <c r="L370" i="16"/>
  <c r="P370" i="16"/>
  <c r="L371" i="16"/>
  <c r="P371" i="16" s="1"/>
  <c r="L372" i="16"/>
  <c r="P372" i="16"/>
  <c r="L373" i="16"/>
  <c r="P373" i="16" s="1"/>
  <c r="L374" i="16"/>
  <c r="P374" i="16"/>
  <c r="L378" i="16"/>
  <c r="P378" i="16" s="1"/>
  <c r="L381" i="16"/>
  <c r="P381" i="16"/>
  <c r="L382" i="16"/>
  <c r="P382" i="16"/>
  <c r="H383" i="16"/>
  <c r="L383" i="16"/>
  <c r="P383" i="16" s="1"/>
  <c r="L384" i="16"/>
  <c r="P384" i="16" s="1"/>
  <c r="L385" i="16"/>
  <c r="P385" i="16"/>
  <c r="L386" i="16"/>
  <c r="P386" i="16" s="1"/>
  <c r="H387" i="16"/>
  <c r="L387" i="16" s="1"/>
  <c r="P387" i="16" s="1"/>
  <c r="L388" i="16"/>
  <c r="P388" i="16"/>
  <c r="L389" i="16"/>
  <c r="P389" i="16"/>
  <c r="L390" i="16"/>
  <c r="P390" i="16"/>
  <c r="L391" i="16"/>
  <c r="P391" i="16"/>
  <c r="L392" i="16"/>
  <c r="P392" i="16"/>
  <c r="L393" i="16"/>
  <c r="P393" i="16"/>
  <c r="L394" i="16"/>
  <c r="P394" i="16"/>
  <c r="L395" i="16"/>
  <c r="P395" i="16"/>
  <c r="L400" i="16"/>
  <c r="P400" i="16"/>
  <c r="L402" i="16"/>
  <c r="P402" i="16" s="1"/>
  <c r="L404" i="16"/>
  <c r="P404" i="16" s="1"/>
  <c r="L406" i="16"/>
  <c r="P406" i="16" s="1"/>
  <c r="L408" i="16"/>
  <c r="P408" i="16"/>
  <c r="L409" i="16"/>
  <c r="P409" i="16" s="1"/>
  <c r="L411" i="16"/>
  <c r="P411" i="16" s="1"/>
  <c r="L413" i="16"/>
  <c r="P413" i="16" s="1"/>
  <c r="L414" i="16"/>
  <c r="P414" i="16"/>
  <c r="L415" i="16"/>
  <c r="P415" i="16" s="1"/>
  <c r="L416" i="16"/>
  <c r="P416" i="16" s="1"/>
  <c r="L417" i="16"/>
  <c r="P417" i="16" s="1"/>
  <c r="L418" i="16"/>
  <c r="P418" i="16"/>
  <c r="L420" i="16"/>
  <c r="P420" i="16" s="1"/>
  <c r="L422" i="16"/>
  <c r="P422" i="16" s="1"/>
  <c r="L423" i="16"/>
  <c r="P423" i="16" s="1"/>
  <c r="L424" i="16"/>
  <c r="P424" i="16"/>
  <c r="L427" i="16"/>
  <c r="P427" i="16"/>
  <c r="L428" i="16"/>
  <c r="P428" i="16" s="1"/>
  <c r="L429" i="16"/>
  <c r="P429" i="16"/>
  <c r="L430" i="16"/>
  <c r="P430" i="16" s="1"/>
  <c r="L433" i="16"/>
  <c r="P433" i="16"/>
  <c r="L434" i="16"/>
  <c r="P434" i="16"/>
  <c r="L435" i="16"/>
  <c r="P435" i="16"/>
  <c r="L438" i="16"/>
  <c r="P438" i="16" s="1"/>
  <c r="L441" i="16"/>
  <c r="P441" i="16"/>
  <c r="L443" i="16"/>
  <c r="P443" i="16"/>
  <c r="L445" i="16"/>
  <c r="P445" i="16"/>
  <c r="L450" i="16"/>
  <c r="P450" i="16" s="1"/>
  <c r="L453" i="16"/>
  <c r="P453" i="16"/>
  <c r="L457" i="16"/>
  <c r="P457" i="16"/>
  <c r="L461" i="16"/>
  <c r="P461" i="16" s="1"/>
  <c r="L463" i="16"/>
  <c r="P463" i="16" s="1"/>
  <c r="L464" i="16"/>
  <c r="P464" i="16"/>
  <c r="L466" i="16"/>
  <c r="P466" i="16" s="1"/>
  <c r="L467" i="16"/>
  <c r="P467" i="16" s="1"/>
  <c r="L469" i="16"/>
  <c r="P469" i="16" s="1"/>
  <c r="L470" i="16"/>
  <c r="P470" i="16"/>
  <c r="L472" i="16"/>
  <c r="P472" i="16" s="1"/>
  <c r="L473" i="16"/>
  <c r="P473" i="16" s="1"/>
  <c r="L475" i="16"/>
  <c r="P475" i="16" s="1"/>
  <c r="L476" i="16"/>
  <c r="P476" i="16"/>
  <c r="L477" i="16"/>
  <c r="P477" i="16" s="1"/>
  <c r="L481" i="16"/>
  <c r="P481" i="16"/>
  <c r="L483" i="16"/>
  <c r="P483" i="16"/>
  <c r="L484" i="16"/>
  <c r="P484" i="16"/>
  <c r="L485" i="16"/>
  <c r="P485" i="16"/>
  <c r="L487" i="16"/>
  <c r="P487" i="16"/>
  <c r="L488" i="16"/>
  <c r="P488" i="16"/>
  <c r="L491" i="16"/>
  <c r="P491" i="16" s="1"/>
  <c r="L492" i="16"/>
  <c r="P492" i="16"/>
  <c r="L496" i="16"/>
  <c r="P496" i="16"/>
  <c r="L498" i="16"/>
  <c r="P498" i="16" s="1"/>
  <c r="L501" i="16"/>
  <c r="P501" i="16"/>
  <c r="L504" i="16"/>
  <c r="P504" i="16" s="1"/>
  <c r="L505" i="16"/>
  <c r="P505" i="16" s="1"/>
  <c r="L506" i="16"/>
  <c r="P506" i="16" s="1"/>
  <c r="L507" i="16"/>
  <c r="P507" i="16"/>
  <c r="L508" i="16"/>
  <c r="P508" i="16" s="1"/>
  <c r="L509" i="16"/>
  <c r="P509" i="16" s="1"/>
  <c r="L511" i="16"/>
  <c r="P511" i="16"/>
  <c r="L512" i="16"/>
  <c r="P512" i="16" s="1"/>
  <c r="L513" i="16"/>
  <c r="P513" i="16" s="1"/>
  <c r="L514" i="16"/>
  <c r="P514" i="16" s="1"/>
  <c r="L515" i="16"/>
  <c r="P515" i="16"/>
  <c r="L516" i="16"/>
  <c r="P516" i="16" s="1"/>
  <c r="L517" i="16"/>
  <c r="P517" i="16" s="1"/>
  <c r="L518" i="16"/>
  <c r="P518" i="16" s="1"/>
  <c r="L519" i="16"/>
  <c r="P519" i="16"/>
  <c r="L520" i="16"/>
  <c r="P520" i="16" s="1"/>
  <c r="L521" i="16"/>
  <c r="P521" i="16" s="1"/>
  <c r="L522" i="16"/>
  <c r="P522" i="16" s="1"/>
  <c r="K633" i="16"/>
  <c r="L633" i="16" s="1"/>
  <c r="P633" i="16" s="1"/>
  <c r="P632" i="16"/>
  <c r="K637" i="16"/>
  <c r="L637" i="16"/>
  <c r="P637" i="16" s="1"/>
  <c r="P636" i="16" s="1"/>
  <c r="K641" i="16"/>
  <c r="L641" i="16" s="1"/>
  <c r="P641" i="16" s="1"/>
  <c r="P640" i="16"/>
  <c r="K645" i="16"/>
  <c r="L645" i="16"/>
  <c r="P645" i="16" s="1"/>
  <c r="P644" i="16" s="1"/>
  <c r="K646" i="16"/>
  <c r="L646" i="16"/>
  <c r="P646" i="16" s="1"/>
  <c r="K647" i="16"/>
  <c r="L647" i="16"/>
  <c r="P647" i="16"/>
  <c r="K648" i="16"/>
  <c r="L648" i="16" s="1"/>
  <c r="P648" i="16"/>
  <c r="M13" i="16"/>
  <c r="J13" i="16"/>
  <c r="N13" i="16"/>
  <c r="U13" i="16" s="1"/>
  <c r="M14" i="16"/>
  <c r="I14" i="16"/>
  <c r="J14" i="16" s="1"/>
  <c r="N14" i="16" s="1"/>
  <c r="M15" i="16"/>
  <c r="I15" i="16"/>
  <c r="J15" i="16" s="1"/>
  <c r="M16" i="16"/>
  <c r="I16" i="16"/>
  <c r="J16" i="16" s="1"/>
  <c r="N16" i="16" s="1"/>
  <c r="L16" i="16"/>
  <c r="M17" i="16"/>
  <c r="I17" i="16"/>
  <c r="J17" i="16" s="1"/>
  <c r="M18" i="16"/>
  <c r="I18" i="16"/>
  <c r="J18" i="16"/>
  <c r="M19" i="16"/>
  <c r="I19" i="16"/>
  <c r="J19" i="16" s="1"/>
  <c r="M20" i="16"/>
  <c r="I20" i="16"/>
  <c r="J20" i="16"/>
  <c r="M21" i="16"/>
  <c r="I21" i="16"/>
  <c r="J21" i="16" s="1"/>
  <c r="N21" i="16" s="1"/>
  <c r="L21" i="16"/>
  <c r="M22" i="16"/>
  <c r="N22" i="16" s="1"/>
  <c r="I22" i="16"/>
  <c r="J22" i="16" s="1"/>
  <c r="M23" i="16"/>
  <c r="I23" i="16"/>
  <c r="J23" i="16" s="1"/>
  <c r="M24" i="16"/>
  <c r="I24" i="16"/>
  <c r="J24" i="16" s="1"/>
  <c r="N24" i="16"/>
  <c r="M25" i="16"/>
  <c r="I25" i="16"/>
  <c r="J25" i="16" s="1"/>
  <c r="M26" i="16"/>
  <c r="I26" i="16"/>
  <c r="J26" i="16" s="1"/>
  <c r="M27" i="16"/>
  <c r="I27" i="16"/>
  <c r="J27" i="16" s="1"/>
  <c r="N27" i="16" s="1"/>
  <c r="M28" i="16"/>
  <c r="N28" i="16" s="1"/>
  <c r="W28" i="16" s="1"/>
  <c r="I28" i="16"/>
  <c r="J28" i="16" s="1"/>
  <c r="M29" i="16"/>
  <c r="I29" i="16"/>
  <c r="J29" i="16" s="1"/>
  <c r="M30" i="16"/>
  <c r="N30" i="16" s="1"/>
  <c r="I30" i="16"/>
  <c r="J30" i="16" s="1"/>
  <c r="M31" i="16"/>
  <c r="I31" i="16"/>
  <c r="J31" i="16" s="1"/>
  <c r="M32" i="16"/>
  <c r="I32" i="16"/>
  <c r="J32" i="16" s="1"/>
  <c r="N32" i="16"/>
  <c r="M33" i="16"/>
  <c r="I33" i="16"/>
  <c r="J33" i="16" s="1"/>
  <c r="M34" i="16"/>
  <c r="I34" i="16"/>
  <c r="J34" i="16" s="1"/>
  <c r="N34" i="16"/>
  <c r="M35" i="16"/>
  <c r="I35" i="16"/>
  <c r="J35" i="16" s="1"/>
  <c r="N35" i="16" s="1"/>
  <c r="M36" i="16"/>
  <c r="N36" i="16" s="1"/>
  <c r="U36" i="16" s="1"/>
  <c r="I36" i="16"/>
  <c r="J36" i="16" s="1"/>
  <c r="M37" i="16"/>
  <c r="I37" i="16"/>
  <c r="J37" i="16" s="1"/>
  <c r="M40" i="16"/>
  <c r="I40" i="16"/>
  <c r="J40" i="16"/>
  <c r="M41" i="16"/>
  <c r="I41" i="16"/>
  <c r="J41" i="16"/>
  <c r="N41" i="16"/>
  <c r="M42" i="16"/>
  <c r="I42" i="16"/>
  <c r="J42" i="16"/>
  <c r="N42" i="16"/>
  <c r="M43" i="16"/>
  <c r="I43" i="16"/>
  <c r="J43" i="16"/>
  <c r="M44" i="16"/>
  <c r="I44" i="16"/>
  <c r="J44" i="16"/>
  <c r="N44" i="16"/>
  <c r="M45" i="16"/>
  <c r="I45" i="16"/>
  <c r="J45" i="16"/>
  <c r="N45" i="16"/>
  <c r="M46" i="16"/>
  <c r="I46" i="16"/>
  <c r="J46" i="16"/>
  <c r="N46" i="16"/>
  <c r="M47" i="16"/>
  <c r="I47" i="16"/>
  <c r="J47" i="16"/>
  <c r="N47" i="16"/>
  <c r="M48" i="16"/>
  <c r="I48" i="16"/>
  <c r="J48" i="16"/>
  <c r="M49" i="16"/>
  <c r="I49" i="16"/>
  <c r="J49" i="16"/>
  <c r="N49" i="16"/>
  <c r="M50" i="16"/>
  <c r="I50" i="16"/>
  <c r="J50" i="16"/>
  <c r="N50" i="16"/>
  <c r="M53" i="16"/>
  <c r="I53" i="16"/>
  <c r="J53" i="16"/>
  <c r="N53" i="16" s="1"/>
  <c r="M54" i="16"/>
  <c r="I54" i="16"/>
  <c r="J54" i="16"/>
  <c r="N54" i="16" s="1"/>
  <c r="M55" i="16"/>
  <c r="I55" i="16"/>
  <c r="J55" i="16"/>
  <c r="N55" i="16" s="1"/>
  <c r="M56" i="16"/>
  <c r="I56" i="16"/>
  <c r="J56" i="16"/>
  <c r="N56" i="16" s="1"/>
  <c r="M57" i="16"/>
  <c r="I57" i="16"/>
  <c r="J57" i="16"/>
  <c r="N57" i="16" s="1"/>
  <c r="M58" i="16"/>
  <c r="I58" i="16"/>
  <c r="J58" i="16"/>
  <c r="N58" i="16" s="1"/>
  <c r="M59" i="16"/>
  <c r="I59" i="16"/>
  <c r="J59" i="16"/>
  <c r="N59" i="16" s="1"/>
  <c r="M60" i="16"/>
  <c r="I60" i="16"/>
  <c r="J60" i="16"/>
  <c r="N60" i="16" s="1"/>
  <c r="M61" i="16"/>
  <c r="I61" i="16"/>
  <c r="J61" i="16"/>
  <c r="N61" i="16" s="1"/>
  <c r="M62" i="16"/>
  <c r="I62" i="16"/>
  <c r="J62" i="16"/>
  <c r="N62" i="16" s="1"/>
  <c r="M63" i="16"/>
  <c r="I63" i="16"/>
  <c r="J63" i="16"/>
  <c r="N63" i="16" s="1"/>
  <c r="M64" i="16"/>
  <c r="I64" i="16"/>
  <c r="J64" i="16"/>
  <c r="N64" i="16" s="1"/>
  <c r="M65" i="16"/>
  <c r="I65" i="16"/>
  <c r="J65" i="16"/>
  <c r="N65" i="16" s="1"/>
  <c r="M66" i="16"/>
  <c r="I66" i="16"/>
  <c r="J66" i="16"/>
  <c r="N66" i="16" s="1"/>
  <c r="M67" i="16"/>
  <c r="I67" i="16"/>
  <c r="J67" i="16"/>
  <c r="N67" i="16" s="1"/>
  <c r="M68" i="16"/>
  <c r="I68" i="16"/>
  <c r="J68" i="16"/>
  <c r="M69" i="16"/>
  <c r="I69" i="16"/>
  <c r="J69" i="16"/>
  <c r="N69" i="16" s="1"/>
  <c r="M70" i="16"/>
  <c r="I70" i="16"/>
  <c r="J70" i="16"/>
  <c r="N70" i="16" s="1"/>
  <c r="M71" i="16"/>
  <c r="I71" i="16"/>
  <c r="J71" i="16"/>
  <c r="N71" i="16" s="1"/>
  <c r="M72" i="16"/>
  <c r="I72" i="16"/>
  <c r="J72" i="16"/>
  <c r="N72" i="16" s="1"/>
  <c r="M73" i="16"/>
  <c r="I73" i="16"/>
  <c r="J73" i="16"/>
  <c r="N73" i="16" s="1"/>
  <c r="M74" i="16"/>
  <c r="I74" i="16"/>
  <c r="J74" i="16"/>
  <c r="N74" i="16" s="1"/>
  <c r="M75" i="16"/>
  <c r="I75" i="16"/>
  <c r="J75" i="16"/>
  <c r="N75" i="16" s="1"/>
  <c r="M76" i="16"/>
  <c r="I76" i="16"/>
  <c r="J76" i="16"/>
  <c r="N76" i="16" s="1"/>
  <c r="M77" i="16"/>
  <c r="I77" i="16"/>
  <c r="J77" i="16"/>
  <c r="N77" i="16" s="1"/>
  <c r="M78" i="16"/>
  <c r="I78" i="16"/>
  <c r="J78" i="16"/>
  <c r="N78" i="16" s="1"/>
  <c r="M81" i="16"/>
  <c r="N81" i="16" s="1"/>
  <c r="I81" i="16"/>
  <c r="J81" i="16"/>
  <c r="M82" i="16"/>
  <c r="I82" i="16"/>
  <c r="J82" i="16" s="1"/>
  <c r="M83" i="16"/>
  <c r="N83" i="16" s="1"/>
  <c r="I83" i="16"/>
  <c r="J83" i="16"/>
  <c r="M84" i="16"/>
  <c r="I84" i="16"/>
  <c r="J84" i="16" s="1"/>
  <c r="M85" i="16"/>
  <c r="I85" i="16"/>
  <c r="J85" i="16"/>
  <c r="M86" i="16"/>
  <c r="I86" i="16"/>
  <c r="J86" i="16" s="1"/>
  <c r="M87" i="16"/>
  <c r="I87" i="16"/>
  <c r="J87" i="16"/>
  <c r="M88" i="16"/>
  <c r="I88" i="16"/>
  <c r="J88" i="16" s="1"/>
  <c r="M89" i="16"/>
  <c r="N89" i="16" s="1"/>
  <c r="I89" i="16"/>
  <c r="J89" i="16"/>
  <c r="M90" i="16"/>
  <c r="I90" i="16"/>
  <c r="J90" i="16" s="1"/>
  <c r="M91" i="16"/>
  <c r="N91" i="16" s="1"/>
  <c r="I91" i="16"/>
  <c r="J91" i="16"/>
  <c r="M92" i="16"/>
  <c r="I92" i="16"/>
  <c r="J92" i="16" s="1"/>
  <c r="M93" i="16"/>
  <c r="I93" i="16"/>
  <c r="J93" i="16"/>
  <c r="M94" i="16"/>
  <c r="I94" i="16"/>
  <c r="J94" i="16" s="1"/>
  <c r="M95" i="16"/>
  <c r="I95" i="16"/>
  <c r="J95" i="16"/>
  <c r="M96" i="16"/>
  <c r="I96" i="16"/>
  <c r="J96" i="16" s="1"/>
  <c r="M97" i="16"/>
  <c r="N97" i="16" s="1"/>
  <c r="I97" i="16"/>
  <c r="J97" i="16"/>
  <c r="M98" i="16"/>
  <c r="I98" i="16"/>
  <c r="J98" i="16" s="1"/>
  <c r="M99" i="16"/>
  <c r="I99" i="16"/>
  <c r="J99" i="16"/>
  <c r="M100" i="16"/>
  <c r="N100" i="16" s="1"/>
  <c r="I100" i="16"/>
  <c r="J100" i="16" s="1"/>
  <c r="M101" i="16"/>
  <c r="I101" i="16"/>
  <c r="J101" i="16" s="1"/>
  <c r="M102" i="16"/>
  <c r="N102" i="16" s="1"/>
  <c r="I102" i="16"/>
  <c r="J102" i="16" s="1"/>
  <c r="M103" i="16"/>
  <c r="N103" i="16" s="1"/>
  <c r="I103" i="16"/>
  <c r="J103" i="16" s="1"/>
  <c r="M104" i="16"/>
  <c r="I104" i="16"/>
  <c r="J104" i="16" s="1"/>
  <c r="N104" i="16"/>
  <c r="M105" i="16"/>
  <c r="I105" i="16"/>
  <c r="J105" i="16" s="1"/>
  <c r="N105" i="16" s="1"/>
  <c r="M106" i="16"/>
  <c r="I106" i="16"/>
  <c r="J106" i="16" s="1"/>
  <c r="N106" i="16"/>
  <c r="M107" i="16"/>
  <c r="I107" i="16"/>
  <c r="J107" i="16" s="1"/>
  <c r="M108" i="16"/>
  <c r="N108" i="16" s="1"/>
  <c r="I108" i="16"/>
  <c r="J108" i="16" s="1"/>
  <c r="M109" i="16"/>
  <c r="I109" i="16"/>
  <c r="J109" i="16" s="1"/>
  <c r="M110" i="16"/>
  <c r="N110" i="16" s="1"/>
  <c r="I110" i="16"/>
  <c r="J110" i="16" s="1"/>
  <c r="M111" i="16"/>
  <c r="I111" i="16"/>
  <c r="J111" i="16" s="1"/>
  <c r="N111" i="16" s="1"/>
  <c r="L111" i="16"/>
  <c r="M112" i="16"/>
  <c r="I112" i="16"/>
  <c r="J112" i="16"/>
  <c r="N112" i="16"/>
  <c r="M113" i="16"/>
  <c r="I113" i="16"/>
  <c r="J113" i="16"/>
  <c r="N113" i="16"/>
  <c r="M114" i="16"/>
  <c r="I114" i="16"/>
  <c r="J114" i="16"/>
  <c r="N114" i="16"/>
  <c r="M115" i="16"/>
  <c r="I115" i="16"/>
  <c r="J115" i="16"/>
  <c r="N115" i="16"/>
  <c r="M116" i="16"/>
  <c r="I116" i="16"/>
  <c r="J116" i="16"/>
  <c r="N116" i="16"/>
  <c r="M117" i="16"/>
  <c r="I117" i="16"/>
  <c r="J117" i="16"/>
  <c r="N117" i="16"/>
  <c r="M118" i="16"/>
  <c r="I118" i="16"/>
  <c r="J118" i="16"/>
  <c r="N118" i="16"/>
  <c r="M119" i="16"/>
  <c r="I119" i="16"/>
  <c r="J119" i="16"/>
  <c r="N119" i="16"/>
  <c r="M120" i="16"/>
  <c r="I120" i="16"/>
  <c r="J120" i="16"/>
  <c r="N120" i="16"/>
  <c r="M121" i="16"/>
  <c r="I121" i="16"/>
  <c r="J121" i="16"/>
  <c r="N121" i="16"/>
  <c r="M122" i="16"/>
  <c r="I122" i="16"/>
  <c r="J122" i="16"/>
  <c r="L122" i="16"/>
  <c r="N122" i="16" s="1"/>
  <c r="M123" i="16"/>
  <c r="I123" i="16"/>
  <c r="J123" i="16"/>
  <c r="N123" i="16" s="1"/>
  <c r="M124" i="16"/>
  <c r="I124" i="16"/>
  <c r="J124" i="16"/>
  <c r="N124" i="16" s="1"/>
  <c r="M127" i="16"/>
  <c r="I127" i="16"/>
  <c r="J127" i="16"/>
  <c r="M130" i="16"/>
  <c r="N130" i="16" s="1"/>
  <c r="I130" i="16"/>
  <c r="J130" i="16" s="1"/>
  <c r="M131" i="16"/>
  <c r="N131" i="16" s="1"/>
  <c r="I131" i="16"/>
  <c r="J131" i="16" s="1"/>
  <c r="M132" i="16"/>
  <c r="I132" i="16"/>
  <c r="J132" i="16" s="1"/>
  <c r="N132" i="16"/>
  <c r="M133" i="16"/>
  <c r="I133" i="16"/>
  <c r="J133" i="16" s="1"/>
  <c r="N133" i="16" s="1"/>
  <c r="M134" i="16"/>
  <c r="I134" i="16"/>
  <c r="J134" i="16" s="1"/>
  <c r="L134" i="16"/>
  <c r="M135" i="16"/>
  <c r="I135" i="16"/>
  <c r="J135" i="16"/>
  <c r="M136" i="16"/>
  <c r="N136" i="16" s="1"/>
  <c r="I136" i="16"/>
  <c r="J136" i="16"/>
  <c r="M137" i="16"/>
  <c r="N137" i="16" s="1"/>
  <c r="I137" i="16"/>
  <c r="J137" i="16"/>
  <c r="M138" i="16"/>
  <c r="I138" i="16"/>
  <c r="J138" i="16"/>
  <c r="M139" i="16"/>
  <c r="I139" i="16"/>
  <c r="J139" i="16"/>
  <c r="M140" i="16"/>
  <c r="N140" i="16" s="1"/>
  <c r="I140" i="16"/>
  <c r="J140" i="16"/>
  <c r="M141" i="16"/>
  <c r="N141" i="16" s="1"/>
  <c r="I141" i="16"/>
  <c r="J141" i="16"/>
  <c r="M142" i="16"/>
  <c r="I142" i="16"/>
  <c r="J142" i="16"/>
  <c r="M143" i="16"/>
  <c r="I143" i="16"/>
  <c r="J143" i="16"/>
  <c r="M144" i="16"/>
  <c r="N144" i="16" s="1"/>
  <c r="I144" i="16"/>
  <c r="J144" i="16"/>
  <c r="M145" i="16"/>
  <c r="N145" i="16" s="1"/>
  <c r="I145" i="16"/>
  <c r="J145" i="16"/>
  <c r="M146" i="16"/>
  <c r="I146" i="16"/>
  <c r="J146" i="16"/>
  <c r="M147" i="16"/>
  <c r="I147" i="16"/>
  <c r="J147" i="16"/>
  <c r="M148" i="16"/>
  <c r="N148" i="16" s="1"/>
  <c r="I148" i="16"/>
  <c r="J148" i="16"/>
  <c r="M149" i="16"/>
  <c r="N149" i="16" s="1"/>
  <c r="I149" i="16"/>
  <c r="J149" i="16"/>
  <c r="M150" i="16"/>
  <c r="I150" i="16"/>
  <c r="J150" i="16"/>
  <c r="M151" i="16"/>
  <c r="I151" i="16"/>
  <c r="J151" i="16"/>
  <c r="M152" i="16"/>
  <c r="N152" i="16" s="1"/>
  <c r="I152" i="16"/>
  <c r="J152" i="16"/>
  <c r="M153" i="16"/>
  <c r="N153" i="16" s="1"/>
  <c r="I153" i="16"/>
  <c r="J153" i="16"/>
  <c r="M154" i="16"/>
  <c r="I154" i="16"/>
  <c r="J154" i="16"/>
  <c r="M155" i="16"/>
  <c r="I155" i="16"/>
  <c r="J155" i="16"/>
  <c r="M156" i="16"/>
  <c r="N156" i="16" s="1"/>
  <c r="I156" i="16"/>
  <c r="J156" i="16"/>
  <c r="M157" i="16"/>
  <c r="N157" i="16" s="1"/>
  <c r="I157" i="16"/>
  <c r="J157" i="16"/>
  <c r="M158" i="16"/>
  <c r="I158" i="16"/>
  <c r="J158" i="16"/>
  <c r="M159" i="16"/>
  <c r="I159" i="16"/>
  <c r="J159" i="16"/>
  <c r="M160" i="16"/>
  <c r="N160" i="16" s="1"/>
  <c r="I160" i="16"/>
  <c r="J160" i="16"/>
  <c r="M161" i="16"/>
  <c r="N161" i="16" s="1"/>
  <c r="I161" i="16"/>
  <c r="J161" i="16"/>
  <c r="M162" i="16"/>
  <c r="I162" i="16"/>
  <c r="J162" i="16"/>
  <c r="M163" i="16"/>
  <c r="I163" i="16"/>
  <c r="J163" i="16"/>
  <c r="M164" i="16"/>
  <c r="N164" i="16" s="1"/>
  <c r="I164" i="16"/>
  <c r="J164" i="16"/>
  <c r="M165" i="16"/>
  <c r="N165" i="16" s="1"/>
  <c r="I165" i="16"/>
  <c r="J165" i="16"/>
  <c r="M166" i="16"/>
  <c r="N166" i="16" s="1"/>
  <c r="I166" i="16"/>
  <c r="J166" i="16"/>
  <c r="M167" i="16"/>
  <c r="N167" i="16" s="1"/>
  <c r="I167" i="16"/>
  <c r="J167" i="16"/>
  <c r="M168" i="16"/>
  <c r="N168" i="16" s="1"/>
  <c r="U168" i="16" s="1"/>
  <c r="I168" i="16"/>
  <c r="J168" i="16"/>
  <c r="M169" i="16"/>
  <c r="N169" i="16" s="1"/>
  <c r="I169" i="16"/>
  <c r="J169" i="16"/>
  <c r="M170" i="16"/>
  <c r="N170" i="16" s="1"/>
  <c r="I170" i="16"/>
  <c r="J170" i="16"/>
  <c r="M171" i="16"/>
  <c r="N171" i="16" s="1"/>
  <c r="I171" i="16"/>
  <c r="J171" i="16"/>
  <c r="M172" i="16"/>
  <c r="N172" i="16" s="1"/>
  <c r="I172" i="16"/>
  <c r="J172" i="16"/>
  <c r="M173" i="16"/>
  <c r="N173" i="16" s="1"/>
  <c r="I173" i="16"/>
  <c r="J173" i="16"/>
  <c r="M174" i="16"/>
  <c r="N174" i="16" s="1"/>
  <c r="I174" i="16"/>
  <c r="J174" i="16"/>
  <c r="M175" i="16"/>
  <c r="N175" i="16" s="1"/>
  <c r="I175" i="16"/>
  <c r="J175" i="16"/>
  <c r="M176" i="16"/>
  <c r="N176" i="16" s="1"/>
  <c r="I176" i="16"/>
  <c r="J176" i="16"/>
  <c r="M177" i="16"/>
  <c r="N177" i="16" s="1"/>
  <c r="I177" i="16"/>
  <c r="J177" i="16"/>
  <c r="M178" i="16"/>
  <c r="N178" i="16" s="1"/>
  <c r="I178" i="16"/>
  <c r="J178" i="16"/>
  <c r="M179" i="16"/>
  <c r="N179" i="16" s="1"/>
  <c r="I179" i="16"/>
  <c r="J179" i="16"/>
  <c r="M180" i="16"/>
  <c r="N180" i="16" s="1"/>
  <c r="I180" i="16"/>
  <c r="J180" i="16"/>
  <c r="M181" i="16"/>
  <c r="N181" i="16" s="1"/>
  <c r="I181" i="16"/>
  <c r="J181" i="16"/>
  <c r="M182" i="16"/>
  <c r="N182" i="16" s="1"/>
  <c r="I182" i="16"/>
  <c r="J182" i="16"/>
  <c r="M183" i="16"/>
  <c r="N183" i="16" s="1"/>
  <c r="I183" i="16"/>
  <c r="J183" i="16"/>
  <c r="M184" i="16"/>
  <c r="N184" i="16" s="1"/>
  <c r="I184" i="16"/>
  <c r="J184" i="16"/>
  <c r="M185" i="16"/>
  <c r="N185" i="16" s="1"/>
  <c r="I185" i="16"/>
  <c r="J185" i="16"/>
  <c r="M186" i="16"/>
  <c r="N186" i="16" s="1"/>
  <c r="I186" i="16"/>
  <c r="J186" i="16"/>
  <c r="M189" i="16"/>
  <c r="I189" i="16"/>
  <c r="J189" i="16" s="1"/>
  <c r="N189" i="16" s="1"/>
  <c r="M190" i="16"/>
  <c r="I190" i="16"/>
  <c r="J190" i="16" s="1"/>
  <c r="N190" i="16" s="1"/>
  <c r="M191" i="16"/>
  <c r="I191" i="16"/>
  <c r="J191" i="16" s="1"/>
  <c r="N191" i="16" s="1"/>
  <c r="U191" i="16" s="1"/>
  <c r="M192" i="16"/>
  <c r="I192" i="16"/>
  <c r="J192" i="16" s="1"/>
  <c r="N192" i="16" s="1"/>
  <c r="M193" i="16"/>
  <c r="I193" i="16"/>
  <c r="J193" i="16" s="1"/>
  <c r="N193" i="16" s="1"/>
  <c r="M194" i="16"/>
  <c r="I194" i="16"/>
  <c r="J194" i="16" s="1"/>
  <c r="N194" i="16" s="1"/>
  <c r="M195" i="16"/>
  <c r="I195" i="16"/>
  <c r="J195" i="16" s="1"/>
  <c r="N195" i="16" s="1"/>
  <c r="M196" i="16"/>
  <c r="I196" i="16"/>
  <c r="J196" i="16" s="1"/>
  <c r="N196" i="16" s="1"/>
  <c r="L196" i="16"/>
  <c r="M197" i="16"/>
  <c r="I197" i="16"/>
  <c r="J197" i="16" s="1"/>
  <c r="M198" i="16"/>
  <c r="N198" i="16" s="1"/>
  <c r="I198" i="16"/>
  <c r="J198" i="16"/>
  <c r="M199" i="16"/>
  <c r="I199" i="16"/>
  <c r="J199" i="16" s="1"/>
  <c r="M200" i="16"/>
  <c r="I200" i="16"/>
  <c r="J200" i="16" s="1"/>
  <c r="M201" i="16"/>
  <c r="I201" i="16"/>
  <c r="J201" i="16"/>
  <c r="M202" i="16"/>
  <c r="I202" i="16"/>
  <c r="J202" i="16"/>
  <c r="M203" i="16"/>
  <c r="N203" i="16" s="1"/>
  <c r="I203" i="16"/>
  <c r="J203" i="16" s="1"/>
  <c r="M204" i="16"/>
  <c r="N204" i="16" s="1"/>
  <c r="I204" i="16"/>
  <c r="J204" i="16"/>
  <c r="M205" i="16"/>
  <c r="I205" i="16"/>
  <c r="J205" i="16" s="1"/>
  <c r="M206" i="16"/>
  <c r="I206" i="16"/>
  <c r="J206" i="16"/>
  <c r="M207" i="16"/>
  <c r="I207" i="16"/>
  <c r="J207" i="16" s="1"/>
  <c r="M208" i="16"/>
  <c r="I208" i="16"/>
  <c r="J208" i="16" s="1"/>
  <c r="M209" i="16"/>
  <c r="I209" i="16"/>
  <c r="J209" i="16"/>
  <c r="M210" i="16"/>
  <c r="I210" i="16"/>
  <c r="J210" i="16"/>
  <c r="M211" i="16"/>
  <c r="N211" i="16" s="1"/>
  <c r="I211" i="16"/>
  <c r="J211" i="16" s="1"/>
  <c r="M212" i="16"/>
  <c r="I212" i="16"/>
  <c r="J212" i="16"/>
  <c r="M213" i="16"/>
  <c r="I213" i="16"/>
  <c r="J213" i="16" s="1"/>
  <c r="M214" i="16"/>
  <c r="N214" i="16" s="1"/>
  <c r="I214" i="16"/>
  <c r="J214" i="16"/>
  <c r="M215" i="16"/>
  <c r="I215" i="16"/>
  <c r="J215" i="16" s="1"/>
  <c r="M216" i="16"/>
  <c r="I216" i="16"/>
  <c r="J216" i="16" s="1"/>
  <c r="M217" i="16"/>
  <c r="I217" i="16"/>
  <c r="J217" i="16"/>
  <c r="M218" i="16"/>
  <c r="I218" i="16"/>
  <c r="J218" i="16"/>
  <c r="M219" i="16"/>
  <c r="N219" i="16" s="1"/>
  <c r="I219" i="16"/>
  <c r="J219" i="16" s="1"/>
  <c r="M220" i="16"/>
  <c r="N220" i="16" s="1"/>
  <c r="I220" i="16"/>
  <c r="J220" i="16"/>
  <c r="M221" i="16"/>
  <c r="I221" i="16"/>
  <c r="J221" i="16" s="1"/>
  <c r="M222" i="16"/>
  <c r="I222" i="16"/>
  <c r="J222" i="16"/>
  <c r="M225" i="16"/>
  <c r="I225" i="16"/>
  <c r="J225" i="16" s="1"/>
  <c r="N225" i="16"/>
  <c r="M226" i="16"/>
  <c r="I226" i="16"/>
  <c r="J226" i="16" s="1"/>
  <c r="M227" i="16"/>
  <c r="I227" i="16"/>
  <c r="J227" i="16" s="1"/>
  <c r="N227" i="16" s="1"/>
  <c r="M228" i="16"/>
  <c r="I228" i="16"/>
  <c r="J228" i="16" s="1"/>
  <c r="N228" i="16"/>
  <c r="M229" i="16"/>
  <c r="N229" i="16" s="1"/>
  <c r="I229" i="16"/>
  <c r="J229" i="16" s="1"/>
  <c r="M230" i="16"/>
  <c r="N230" i="16" s="1"/>
  <c r="I230" i="16"/>
  <c r="J230" i="16" s="1"/>
  <c r="M231" i="16"/>
  <c r="I231" i="16"/>
  <c r="J231" i="16" s="1"/>
  <c r="N231" i="16"/>
  <c r="M232" i="16"/>
  <c r="I232" i="16"/>
  <c r="J232" i="16" s="1"/>
  <c r="N232" i="16" s="1"/>
  <c r="M233" i="16"/>
  <c r="N233" i="16" s="1"/>
  <c r="U233" i="16" s="1"/>
  <c r="I233" i="16"/>
  <c r="J233" i="16" s="1"/>
  <c r="M234" i="16"/>
  <c r="I234" i="16"/>
  <c r="J234" i="16" s="1"/>
  <c r="M235" i="16"/>
  <c r="I235" i="16"/>
  <c r="J235" i="16" s="1"/>
  <c r="L235" i="16"/>
  <c r="M236" i="16"/>
  <c r="N236" i="16" s="1"/>
  <c r="I236" i="16"/>
  <c r="J236" i="16"/>
  <c r="M237" i="16"/>
  <c r="I237" i="16"/>
  <c r="J237" i="16"/>
  <c r="M238" i="16"/>
  <c r="I238" i="16"/>
  <c r="J238" i="16"/>
  <c r="M239" i="16"/>
  <c r="N239" i="16" s="1"/>
  <c r="I239" i="16"/>
  <c r="J239" i="16"/>
  <c r="M240" i="16"/>
  <c r="N240" i="16" s="1"/>
  <c r="I240" i="16"/>
  <c r="J240" i="16"/>
  <c r="M241" i="16"/>
  <c r="I241" i="16"/>
  <c r="J241" i="16"/>
  <c r="M242" i="16"/>
  <c r="I242" i="16"/>
  <c r="J242" i="16"/>
  <c r="M243" i="16"/>
  <c r="N243" i="16" s="1"/>
  <c r="I243" i="16"/>
  <c r="J243" i="16"/>
  <c r="M244" i="16"/>
  <c r="N244" i="16" s="1"/>
  <c r="I244" i="16"/>
  <c r="J244" i="16"/>
  <c r="M245" i="16"/>
  <c r="I245" i="16"/>
  <c r="J245" i="16"/>
  <c r="M246" i="16"/>
  <c r="I246" i="16"/>
  <c r="J246" i="16"/>
  <c r="M247" i="16"/>
  <c r="N247" i="16" s="1"/>
  <c r="I247" i="16"/>
  <c r="J247" i="16"/>
  <c r="M248" i="16"/>
  <c r="N248" i="16" s="1"/>
  <c r="I248" i="16"/>
  <c r="J248" i="16"/>
  <c r="M249" i="16"/>
  <c r="I249" i="16"/>
  <c r="J249" i="16"/>
  <c r="M250" i="16"/>
  <c r="I250" i="16"/>
  <c r="J250" i="16"/>
  <c r="M251" i="16"/>
  <c r="N251" i="16" s="1"/>
  <c r="I251" i="16"/>
  <c r="J251" i="16"/>
  <c r="M252" i="16"/>
  <c r="N252" i="16" s="1"/>
  <c r="I252" i="16"/>
  <c r="J252" i="16"/>
  <c r="M253" i="16"/>
  <c r="I253" i="16"/>
  <c r="J253" i="16"/>
  <c r="M254" i="16"/>
  <c r="I254" i="16"/>
  <c r="J254" i="16"/>
  <c r="M257" i="16"/>
  <c r="I257" i="16"/>
  <c r="J257" i="16" s="1"/>
  <c r="N257" i="16"/>
  <c r="M258" i="16"/>
  <c r="I258" i="16"/>
  <c r="J258" i="16" s="1"/>
  <c r="N258" i="16" s="1"/>
  <c r="M259" i="16"/>
  <c r="I259" i="16"/>
  <c r="J259" i="16" s="1"/>
  <c r="M260" i="16"/>
  <c r="I260" i="16"/>
  <c r="J260" i="16" s="1"/>
  <c r="N260" i="16" s="1"/>
  <c r="U260" i="16" s="1"/>
  <c r="M261" i="16"/>
  <c r="I261" i="16"/>
  <c r="J261" i="16" s="1"/>
  <c r="N261" i="16"/>
  <c r="M262" i="16"/>
  <c r="I262" i="16"/>
  <c r="J262" i="16" s="1"/>
  <c r="N262" i="16" s="1"/>
  <c r="M263" i="16"/>
  <c r="I263" i="16"/>
  <c r="J263" i="16" s="1"/>
  <c r="M264" i="16"/>
  <c r="I264" i="16"/>
  <c r="J264" i="16" s="1"/>
  <c r="N264" i="16" s="1"/>
  <c r="M265" i="16"/>
  <c r="I265" i="16"/>
  <c r="J265" i="16" s="1"/>
  <c r="N265" i="16"/>
  <c r="M266" i="16"/>
  <c r="I266" i="16"/>
  <c r="J266" i="16" s="1"/>
  <c r="N266" i="16" s="1"/>
  <c r="L266" i="16"/>
  <c r="M267" i="16"/>
  <c r="N267" i="16" s="1"/>
  <c r="I267" i="16"/>
  <c r="J267" i="16" s="1"/>
  <c r="M268" i="16"/>
  <c r="I268" i="16"/>
  <c r="J268" i="16"/>
  <c r="M269" i="16"/>
  <c r="I269" i="16"/>
  <c r="J269" i="16" s="1"/>
  <c r="M270" i="16"/>
  <c r="N270" i="16" s="1"/>
  <c r="I270" i="16"/>
  <c r="J270" i="16"/>
  <c r="M271" i="16"/>
  <c r="I271" i="16"/>
  <c r="J271" i="16" s="1"/>
  <c r="M272" i="16"/>
  <c r="I272" i="16"/>
  <c r="J272" i="16" s="1"/>
  <c r="M273" i="16"/>
  <c r="I273" i="16"/>
  <c r="J273" i="16"/>
  <c r="M274" i="16"/>
  <c r="I274" i="16"/>
  <c r="J274" i="16"/>
  <c r="M275" i="16"/>
  <c r="N275" i="16" s="1"/>
  <c r="I275" i="16"/>
  <c r="J275" i="16" s="1"/>
  <c r="M276" i="16"/>
  <c r="N276" i="16" s="1"/>
  <c r="I276" i="16"/>
  <c r="J276" i="16"/>
  <c r="M277" i="16"/>
  <c r="I277" i="16"/>
  <c r="J277" i="16" s="1"/>
  <c r="M278" i="16"/>
  <c r="I278" i="16"/>
  <c r="J278" i="16"/>
  <c r="M279" i="16"/>
  <c r="I279" i="16"/>
  <c r="J279" i="16" s="1"/>
  <c r="M280" i="16"/>
  <c r="I280" i="16"/>
  <c r="J280" i="16" s="1"/>
  <c r="M281" i="16"/>
  <c r="I281" i="16"/>
  <c r="J281" i="16"/>
  <c r="M282" i="16"/>
  <c r="N282" i="16" s="1"/>
  <c r="I282" i="16"/>
  <c r="J282" i="16"/>
  <c r="M283" i="16"/>
  <c r="N283" i="16" s="1"/>
  <c r="I283" i="16"/>
  <c r="J283" i="16" s="1"/>
  <c r="M286" i="16"/>
  <c r="I286" i="16"/>
  <c r="J286" i="16" s="1"/>
  <c r="M287" i="16"/>
  <c r="N287" i="16" s="1"/>
  <c r="I287" i="16"/>
  <c r="J287" i="16" s="1"/>
  <c r="M288" i="16"/>
  <c r="I288" i="16"/>
  <c r="J288" i="16" s="1"/>
  <c r="N288" i="16"/>
  <c r="M289" i="16"/>
  <c r="I289" i="16"/>
  <c r="J289" i="16" s="1"/>
  <c r="N289" i="16"/>
  <c r="M290" i="16"/>
  <c r="N290" i="16" s="1"/>
  <c r="I290" i="16"/>
  <c r="J290" i="16" s="1"/>
  <c r="M291" i="16"/>
  <c r="N291" i="16" s="1"/>
  <c r="I291" i="16"/>
  <c r="J291" i="16"/>
  <c r="M292" i="16"/>
  <c r="I292" i="16"/>
  <c r="J292" i="16" s="1"/>
  <c r="M293" i="16"/>
  <c r="I293" i="16"/>
  <c r="J293" i="16"/>
  <c r="M294" i="16"/>
  <c r="I294" i="16"/>
  <c r="J294" i="16" s="1"/>
  <c r="M295" i="16"/>
  <c r="N295" i="16" s="1"/>
  <c r="I295" i="16"/>
  <c r="J295" i="16"/>
  <c r="M296" i="16"/>
  <c r="I296" i="16"/>
  <c r="J296" i="16" s="1"/>
  <c r="M297" i="16"/>
  <c r="I297" i="16"/>
  <c r="J297" i="16"/>
  <c r="M298" i="16"/>
  <c r="I298" i="16"/>
  <c r="J298" i="16" s="1"/>
  <c r="M299" i="16"/>
  <c r="N299" i="16" s="1"/>
  <c r="I299" i="16"/>
  <c r="J299" i="16"/>
  <c r="M300" i="16"/>
  <c r="I300" i="16"/>
  <c r="J300" i="16" s="1"/>
  <c r="M301" i="16"/>
  <c r="I301" i="16"/>
  <c r="J301" i="16"/>
  <c r="M302" i="16"/>
  <c r="I302" i="16"/>
  <c r="J302" i="16" s="1"/>
  <c r="M303" i="16"/>
  <c r="N303" i="16" s="1"/>
  <c r="I303" i="16"/>
  <c r="J303" i="16"/>
  <c r="M304" i="16"/>
  <c r="I304" i="16"/>
  <c r="J304" i="16" s="1"/>
  <c r="M305" i="16"/>
  <c r="I305" i="16"/>
  <c r="J305" i="16"/>
  <c r="M306" i="16"/>
  <c r="I306" i="16"/>
  <c r="J306" i="16" s="1"/>
  <c r="M307" i="16"/>
  <c r="N307" i="16" s="1"/>
  <c r="I307" i="16"/>
  <c r="J307" i="16"/>
  <c r="M308" i="16"/>
  <c r="I308" i="16"/>
  <c r="J308" i="16" s="1"/>
  <c r="M309" i="16"/>
  <c r="I309" i="16"/>
  <c r="J309" i="16"/>
  <c r="M310" i="16"/>
  <c r="I310" i="16"/>
  <c r="J310" i="16" s="1"/>
  <c r="M311" i="16"/>
  <c r="N311" i="16" s="1"/>
  <c r="I311" i="16"/>
  <c r="J311" i="16"/>
  <c r="M312" i="16"/>
  <c r="I312" i="16"/>
  <c r="J312" i="16" s="1"/>
  <c r="M313" i="16"/>
  <c r="I313" i="16"/>
  <c r="J313" i="16"/>
  <c r="M314" i="16"/>
  <c r="I314" i="16"/>
  <c r="J314" i="16" s="1"/>
  <c r="M315" i="16"/>
  <c r="N315" i="16" s="1"/>
  <c r="I315" i="16"/>
  <c r="J315" i="16"/>
  <c r="M316" i="16"/>
  <c r="I316" i="16"/>
  <c r="J316" i="16" s="1"/>
  <c r="M317" i="16"/>
  <c r="I317" i="16"/>
  <c r="J317" i="16"/>
  <c r="M318" i="16"/>
  <c r="I318" i="16"/>
  <c r="J318" i="16" s="1"/>
  <c r="M319" i="16"/>
  <c r="N319" i="16" s="1"/>
  <c r="I319" i="16"/>
  <c r="J319" i="16"/>
  <c r="M320" i="16"/>
  <c r="I320" i="16"/>
  <c r="J320" i="16" s="1"/>
  <c r="M323" i="16"/>
  <c r="I323" i="16"/>
  <c r="J323" i="16" s="1"/>
  <c r="N323" i="16" s="1"/>
  <c r="M324" i="16"/>
  <c r="I324" i="16"/>
  <c r="J324" i="16" s="1"/>
  <c r="N324" i="16"/>
  <c r="M325" i="16"/>
  <c r="N325" i="16" s="1"/>
  <c r="U325" i="16" s="1"/>
  <c r="I325" i="16"/>
  <c r="J325" i="16" s="1"/>
  <c r="M326" i="16"/>
  <c r="N326" i="16" s="1"/>
  <c r="I326" i="16"/>
  <c r="J326" i="16" s="1"/>
  <c r="L326" i="16"/>
  <c r="M327" i="16"/>
  <c r="N327" i="16" s="1"/>
  <c r="I327" i="16"/>
  <c r="J327" i="16"/>
  <c r="M328" i="16"/>
  <c r="N328" i="16" s="1"/>
  <c r="I328" i="16"/>
  <c r="J328" i="16"/>
  <c r="M329" i="16"/>
  <c r="N329" i="16" s="1"/>
  <c r="I329" i="16"/>
  <c r="J329" i="16"/>
  <c r="M330" i="16"/>
  <c r="N330" i="16" s="1"/>
  <c r="I330" i="16"/>
  <c r="J330" i="16"/>
  <c r="M331" i="16"/>
  <c r="N331" i="16" s="1"/>
  <c r="I331" i="16"/>
  <c r="J331" i="16"/>
  <c r="M332" i="16"/>
  <c r="N332" i="16" s="1"/>
  <c r="I332" i="16"/>
  <c r="J332" i="16"/>
  <c r="M333" i="16"/>
  <c r="N333" i="16" s="1"/>
  <c r="I333" i="16"/>
  <c r="J333" i="16"/>
  <c r="M334" i="16"/>
  <c r="N334" i="16" s="1"/>
  <c r="I334" i="16"/>
  <c r="J334" i="16"/>
  <c r="M335" i="16"/>
  <c r="N335" i="16" s="1"/>
  <c r="I335" i="16"/>
  <c r="J335" i="16"/>
  <c r="M336" i="16"/>
  <c r="N336" i="16" s="1"/>
  <c r="U336" i="16" s="1"/>
  <c r="I336" i="16"/>
  <c r="J336" i="16"/>
  <c r="M337" i="16"/>
  <c r="N337" i="16" s="1"/>
  <c r="I337" i="16"/>
  <c r="J337" i="16"/>
  <c r="M338" i="16"/>
  <c r="N338" i="16" s="1"/>
  <c r="I338" i="16"/>
  <c r="J338" i="16"/>
  <c r="M339" i="16"/>
  <c r="N339" i="16" s="1"/>
  <c r="I339" i="16"/>
  <c r="J339" i="16"/>
  <c r="M340" i="16"/>
  <c r="N340" i="16" s="1"/>
  <c r="I340" i="16"/>
  <c r="J340" i="16"/>
  <c r="M341" i="16"/>
  <c r="N341" i="16" s="1"/>
  <c r="I341" i="16"/>
  <c r="J341" i="16"/>
  <c r="M344" i="16"/>
  <c r="I344" i="16"/>
  <c r="J344" i="16" s="1"/>
  <c r="N344" i="16" s="1"/>
  <c r="M345" i="16"/>
  <c r="I345" i="16"/>
  <c r="J345" i="16" s="1"/>
  <c r="N345" i="16" s="1"/>
  <c r="M346" i="16"/>
  <c r="I346" i="16"/>
  <c r="J346" i="16" s="1"/>
  <c r="N346" i="16" s="1"/>
  <c r="M347" i="16"/>
  <c r="I347" i="16"/>
  <c r="J347" i="16" s="1"/>
  <c r="N347" i="16" s="1"/>
  <c r="M348" i="16"/>
  <c r="I348" i="16"/>
  <c r="J348" i="16" s="1"/>
  <c r="N348" i="16" s="1"/>
  <c r="M349" i="16"/>
  <c r="I349" i="16"/>
  <c r="J349" i="16" s="1"/>
  <c r="N349" i="16" s="1"/>
  <c r="M350" i="16"/>
  <c r="I350" i="16"/>
  <c r="J350" i="16" s="1"/>
  <c r="N350" i="16" s="1"/>
  <c r="M351" i="16"/>
  <c r="I351" i="16"/>
  <c r="J351" i="16" s="1"/>
  <c r="N351" i="16" s="1"/>
  <c r="M354" i="16"/>
  <c r="N354" i="16" s="1"/>
  <c r="N353" i="16" s="1"/>
  <c r="I354" i="16"/>
  <c r="J354" i="16"/>
  <c r="M355" i="16"/>
  <c r="N355" i="16" s="1"/>
  <c r="I355" i="16"/>
  <c r="J355" i="16"/>
  <c r="M356" i="16"/>
  <c r="N356" i="16" s="1"/>
  <c r="I356" i="16"/>
  <c r="J356" i="16"/>
  <c r="M357" i="16"/>
  <c r="N357" i="16" s="1"/>
  <c r="M361" i="16"/>
  <c r="I361" i="16"/>
  <c r="J361" i="16" s="1"/>
  <c r="N361" i="16" s="1"/>
  <c r="M362" i="16"/>
  <c r="I362" i="16"/>
  <c r="J362" i="16" s="1"/>
  <c r="N362" i="16" s="1"/>
  <c r="M363" i="16"/>
  <c r="I363" i="16"/>
  <c r="J363" i="16" s="1"/>
  <c r="N363" i="16" s="1"/>
  <c r="M364" i="16"/>
  <c r="I364" i="16"/>
  <c r="J364" i="16" s="1"/>
  <c r="N364" i="16" s="1"/>
  <c r="M365" i="16"/>
  <c r="I365" i="16"/>
  <c r="J365" i="16" s="1"/>
  <c r="N365" i="16" s="1"/>
  <c r="M366" i="16"/>
  <c r="I366" i="16"/>
  <c r="J366" i="16" s="1"/>
  <c r="N366" i="16" s="1"/>
  <c r="M367" i="16"/>
  <c r="I367" i="16"/>
  <c r="J367" i="16" s="1"/>
  <c r="N367" i="16" s="1"/>
  <c r="M368" i="16"/>
  <c r="I368" i="16"/>
  <c r="J368" i="16" s="1"/>
  <c r="N368" i="16" s="1"/>
  <c r="M369" i="16"/>
  <c r="I369" i="16"/>
  <c r="J369" i="16" s="1"/>
  <c r="N369" i="16" s="1"/>
  <c r="M370" i="16"/>
  <c r="I370" i="16"/>
  <c r="J370" i="16" s="1"/>
  <c r="N370" i="16" s="1"/>
  <c r="M371" i="16"/>
  <c r="I371" i="16"/>
  <c r="J371" i="16" s="1"/>
  <c r="N371" i="16" s="1"/>
  <c r="M372" i="16"/>
  <c r="I372" i="16"/>
  <c r="J372" i="16" s="1"/>
  <c r="N372" i="16" s="1"/>
  <c r="M373" i="16"/>
  <c r="I373" i="16"/>
  <c r="J373" i="16" s="1"/>
  <c r="N373" i="16" s="1"/>
  <c r="M374" i="16"/>
  <c r="I374" i="16"/>
  <c r="J374" i="16" s="1"/>
  <c r="N374" i="16" s="1"/>
  <c r="M377" i="16"/>
  <c r="I377" i="16"/>
  <c r="J377" i="16"/>
  <c r="M378" i="16"/>
  <c r="N378" i="16" s="1"/>
  <c r="I378" i="16"/>
  <c r="J378" i="16"/>
  <c r="M381" i="16"/>
  <c r="I381" i="16"/>
  <c r="J381" i="16" s="1"/>
  <c r="N381" i="16" s="1"/>
  <c r="M382" i="16"/>
  <c r="I382" i="16"/>
  <c r="J382" i="16" s="1"/>
  <c r="N382" i="16" s="1"/>
  <c r="M383" i="16"/>
  <c r="I383" i="16"/>
  <c r="J383" i="16" s="1"/>
  <c r="N383" i="16" s="1"/>
  <c r="M384" i="16"/>
  <c r="I384" i="16"/>
  <c r="J384" i="16" s="1"/>
  <c r="N384" i="16" s="1"/>
  <c r="M385" i="16"/>
  <c r="I385" i="16"/>
  <c r="J385" i="16" s="1"/>
  <c r="N385" i="16" s="1"/>
  <c r="M386" i="16"/>
  <c r="I386" i="16"/>
  <c r="J386" i="16" s="1"/>
  <c r="N386" i="16" s="1"/>
  <c r="M387" i="16"/>
  <c r="I387" i="16"/>
  <c r="J387" i="16" s="1"/>
  <c r="N387" i="16" s="1"/>
  <c r="M388" i="16"/>
  <c r="I388" i="16"/>
  <c r="J388" i="16" s="1"/>
  <c r="N388" i="16" s="1"/>
  <c r="M389" i="16"/>
  <c r="I389" i="16"/>
  <c r="J389" i="16" s="1"/>
  <c r="N389" i="16" s="1"/>
  <c r="M390" i="16"/>
  <c r="I390" i="16"/>
  <c r="J390" i="16" s="1"/>
  <c r="N390" i="16" s="1"/>
  <c r="M391" i="16"/>
  <c r="I391" i="16"/>
  <c r="J391" i="16" s="1"/>
  <c r="N391" i="16" s="1"/>
  <c r="M392" i="16"/>
  <c r="I392" i="16"/>
  <c r="J392" i="16" s="1"/>
  <c r="N392" i="16" s="1"/>
  <c r="M393" i="16"/>
  <c r="I393" i="16"/>
  <c r="J393" i="16" s="1"/>
  <c r="N393" i="16" s="1"/>
  <c r="M394" i="16"/>
  <c r="I394" i="16"/>
  <c r="J394" i="16" s="1"/>
  <c r="N394" i="16" s="1"/>
  <c r="M395" i="16"/>
  <c r="I395" i="16"/>
  <c r="J395" i="16" s="1"/>
  <c r="N395" i="16" s="1"/>
  <c r="M399" i="16"/>
  <c r="I399" i="16"/>
  <c r="J399" i="16"/>
  <c r="L399" i="16"/>
  <c r="N399" i="16"/>
  <c r="M400" i="16"/>
  <c r="I400" i="16"/>
  <c r="J400" i="16" s="1"/>
  <c r="N400" i="16" s="1"/>
  <c r="M401" i="16"/>
  <c r="I401" i="16"/>
  <c r="J401" i="16" s="1"/>
  <c r="N401" i="16" s="1"/>
  <c r="L401" i="16"/>
  <c r="M402" i="16"/>
  <c r="N402" i="16" s="1"/>
  <c r="I402" i="16"/>
  <c r="J402" i="16"/>
  <c r="M403" i="16"/>
  <c r="I403" i="16"/>
  <c r="J403" i="16"/>
  <c r="N403" i="16" s="1"/>
  <c r="L403" i="16"/>
  <c r="M404" i="16"/>
  <c r="I404" i="16"/>
  <c r="J404" i="16" s="1"/>
  <c r="N404" i="16" s="1"/>
  <c r="M405" i="16"/>
  <c r="I405" i="16"/>
  <c r="J405" i="16" s="1"/>
  <c r="N405" i="16" s="1"/>
  <c r="L405" i="16"/>
  <c r="M406" i="16"/>
  <c r="N406" i="16" s="1"/>
  <c r="I406" i="16"/>
  <c r="J406" i="16"/>
  <c r="M407" i="16"/>
  <c r="I407" i="16"/>
  <c r="J407" i="16"/>
  <c r="L407" i="16"/>
  <c r="N407" i="16"/>
  <c r="M408" i="16"/>
  <c r="I408" i="16"/>
  <c r="J408" i="16" s="1"/>
  <c r="N408" i="16" s="1"/>
  <c r="M409" i="16"/>
  <c r="I409" i="16"/>
  <c r="J409" i="16" s="1"/>
  <c r="N409" i="16" s="1"/>
  <c r="M410" i="16"/>
  <c r="I410" i="16"/>
  <c r="J410" i="16" s="1"/>
  <c r="N410" i="16" s="1"/>
  <c r="L410" i="16"/>
  <c r="M411" i="16"/>
  <c r="N411" i="16" s="1"/>
  <c r="I411" i="16"/>
  <c r="J411" i="16"/>
  <c r="M412" i="16"/>
  <c r="I412" i="16"/>
  <c r="J412" i="16"/>
  <c r="N412" i="16" s="1"/>
  <c r="L412" i="16"/>
  <c r="M413" i="16"/>
  <c r="I413" i="16"/>
  <c r="J413" i="16" s="1"/>
  <c r="N413" i="16" s="1"/>
  <c r="M414" i="16"/>
  <c r="I414" i="16"/>
  <c r="J414" i="16" s="1"/>
  <c r="N414" i="16" s="1"/>
  <c r="M415" i="16"/>
  <c r="I415" i="16"/>
  <c r="J415" i="16" s="1"/>
  <c r="N415" i="16" s="1"/>
  <c r="M416" i="16"/>
  <c r="I416" i="16"/>
  <c r="J416" i="16" s="1"/>
  <c r="N416" i="16" s="1"/>
  <c r="M417" i="16"/>
  <c r="I417" i="16"/>
  <c r="J417" i="16" s="1"/>
  <c r="N417" i="16" s="1"/>
  <c r="M418" i="16"/>
  <c r="I418" i="16"/>
  <c r="J418" i="16" s="1"/>
  <c r="N418" i="16" s="1"/>
  <c r="M419" i="16"/>
  <c r="I419" i="16"/>
  <c r="J419" i="16" s="1"/>
  <c r="N419" i="16" s="1"/>
  <c r="L419" i="16"/>
  <c r="M420" i="16"/>
  <c r="N420" i="16" s="1"/>
  <c r="I420" i="16"/>
  <c r="J420" i="16"/>
  <c r="M421" i="16"/>
  <c r="I421" i="16"/>
  <c r="J421" i="16"/>
  <c r="L421" i="16"/>
  <c r="N421" i="16"/>
  <c r="M422" i="16"/>
  <c r="I422" i="16"/>
  <c r="J422" i="16" s="1"/>
  <c r="N422" i="16" s="1"/>
  <c r="U422" i="16" s="1"/>
  <c r="M423" i="16"/>
  <c r="I423" i="16"/>
  <c r="J423" i="16" s="1"/>
  <c r="N423" i="16" s="1"/>
  <c r="M424" i="16"/>
  <c r="I424" i="16"/>
  <c r="J424" i="16" s="1"/>
  <c r="N424" i="16" s="1"/>
  <c r="M427" i="16"/>
  <c r="N427" i="16" s="1"/>
  <c r="I427" i="16"/>
  <c r="J427" i="16"/>
  <c r="M428" i="16"/>
  <c r="N428" i="16" s="1"/>
  <c r="I428" i="16"/>
  <c r="J428" i="16"/>
  <c r="M429" i="16"/>
  <c r="N429" i="16" s="1"/>
  <c r="I429" i="16"/>
  <c r="J429" i="16"/>
  <c r="M430" i="16"/>
  <c r="N430" i="16" s="1"/>
  <c r="I430" i="16"/>
  <c r="J430" i="16"/>
  <c r="M431" i="16"/>
  <c r="I431" i="16"/>
  <c r="J431" i="16"/>
  <c r="N431" i="16" s="1"/>
  <c r="L431" i="16"/>
  <c r="M432" i="16"/>
  <c r="I432" i="16"/>
  <c r="J432" i="16" s="1"/>
  <c r="M433" i="16"/>
  <c r="I433" i="16"/>
  <c r="J433" i="16" s="1"/>
  <c r="N433" i="16" s="1"/>
  <c r="M434" i="16"/>
  <c r="I434" i="16"/>
  <c r="J434" i="16" s="1"/>
  <c r="N434" i="16" s="1"/>
  <c r="M435" i="16"/>
  <c r="I435" i="16"/>
  <c r="J435" i="16" s="1"/>
  <c r="N435" i="16" s="1"/>
  <c r="M436" i="16"/>
  <c r="I436" i="16"/>
  <c r="J436" i="16" s="1"/>
  <c r="M437" i="16"/>
  <c r="I437" i="16"/>
  <c r="J437" i="16" s="1"/>
  <c r="N437" i="16" s="1"/>
  <c r="L437" i="16"/>
  <c r="M438" i="16"/>
  <c r="N438" i="16" s="1"/>
  <c r="I438" i="16"/>
  <c r="J438" i="16"/>
  <c r="M439" i="16"/>
  <c r="I439" i="16"/>
  <c r="J439" i="16"/>
  <c r="L439" i="16"/>
  <c r="N439" i="16"/>
  <c r="M440" i="16"/>
  <c r="I440" i="16"/>
  <c r="J440" i="16" s="1"/>
  <c r="M441" i="16"/>
  <c r="I441" i="16"/>
  <c r="J441" i="16" s="1"/>
  <c r="N441" i="16" s="1"/>
  <c r="M442" i="16"/>
  <c r="I442" i="16"/>
  <c r="J442" i="16" s="1"/>
  <c r="N442" i="16" s="1"/>
  <c r="L442" i="16"/>
  <c r="M443" i="16"/>
  <c r="N443" i="16" s="1"/>
  <c r="I443" i="16"/>
  <c r="J443" i="16"/>
  <c r="M444" i="16"/>
  <c r="I444" i="16"/>
  <c r="J444" i="16"/>
  <c r="N444" i="16" s="1"/>
  <c r="U444" i="16" s="1"/>
  <c r="L444" i="16"/>
  <c r="M445" i="16"/>
  <c r="I445" i="16"/>
  <c r="J445" i="16" s="1"/>
  <c r="N445" i="16" s="1"/>
  <c r="M446" i="16"/>
  <c r="I446" i="16"/>
  <c r="J446" i="16" s="1"/>
  <c r="N446" i="16" s="1"/>
  <c r="L446" i="16"/>
  <c r="M447" i="16"/>
  <c r="I447" i="16"/>
  <c r="J447" i="16"/>
  <c r="L447" i="16"/>
  <c r="N447" i="16"/>
  <c r="M448" i="16"/>
  <c r="I448" i="16"/>
  <c r="J448" i="16" s="1"/>
  <c r="M449" i="16"/>
  <c r="I449" i="16"/>
  <c r="J449" i="16" s="1"/>
  <c r="N449" i="16" s="1"/>
  <c r="L449" i="16"/>
  <c r="M450" i="16"/>
  <c r="N450" i="16" s="1"/>
  <c r="I450" i="16"/>
  <c r="J450" i="16"/>
  <c r="M451" i="16"/>
  <c r="I451" i="16"/>
  <c r="J451" i="16"/>
  <c r="N451" i="16" s="1"/>
  <c r="L451" i="16"/>
  <c r="M452" i="16"/>
  <c r="I452" i="16"/>
  <c r="J452" i="16" s="1"/>
  <c r="M453" i="16"/>
  <c r="I453" i="16"/>
  <c r="J453" i="16" s="1"/>
  <c r="N453" i="16" s="1"/>
  <c r="M456" i="16"/>
  <c r="I456" i="16"/>
  <c r="J456" i="16"/>
  <c r="L456" i="16"/>
  <c r="N456" i="16"/>
  <c r="M457" i="16"/>
  <c r="I457" i="16"/>
  <c r="J457" i="16" s="1"/>
  <c r="N457" i="16" s="1"/>
  <c r="M458" i="16"/>
  <c r="I458" i="16"/>
  <c r="J458" i="16" s="1"/>
  <c r="N458" i="16" s="1"/>
  <c r="L458" i="16"/>
  <c r="M459" i="16"/>
  <c r="I459" i="16"/>
  <c r="J459" i="16"/>
  <c r="M460" i="16"/>
  <c r="I460" i="16"/>
  <c r="J460" i="16"/>
  <c r="N460" i="16" s="1"/>
  <c r="L460" i="16"/>
  <c r="M461" i="16"/>
  <c r="I461" i="16"/>
  <c r="J461" i="16" s="1"/>
  <c r="N461" i="16" s="1"/>
  <c r="M462" i="16"/>
  <c r="I462" i="16"/>
  <c r="J462" i="16" s="1"/>
  <c r="N462" i="16" s="1"/>
  <c r="L462" i="16"/>
  <c r="M463" i="16"/>
  <c r="N463" i="16" s="1"/>
  <c r="I463" i="16"/>
  <c r="J463" i="16"/>
  <c r="M464" i="16"/>
  <c r="N464" i="16" s="1"/>
  <c r="I464" i="16"/>
  <c r="J464" i="16"/>
  <c r="M465" i="16"/>
  <c r="I465" i="16"/>
  <c r="J465" i="16"/>
  <c r="L465" i="16"/>
  <c r="N465" i="16"/>
  <c r="M466" i="16"/>
  <c r="I466" i="16"/>
  <c r="J466" i="16" s="1"/>
  <c r="N466" i="16" s="1"/>
  <c r="M467" i="16"/>
  <c r="I467" i="16"/>
  <c r="J467" i="16" s="1"/>
  <c r="N467" i="16" s="1"/>
  <c r="M468" i="16"/>
  <c r="I468" i="16"/>
  <c r="J468" i="16" s="1"/>
  <c r="N468" i="16" s="1"/>
  <c r="L468" i="16"/>
  <c r="M469" i="16"/>
  <c r="N469" i="16" s="1"/>
  <c r="I469" i="16"/>
  <c r="J469" i="16"/>
  <c r="M470" i="16"/>
  <c r="N470" i="16" s="1"/>
  <c r="I470" i="16"/>
  <c r="J470" i="16"/>
  <c r="M471" i="16"/>
  <c r="I471" i="16"/>
  <c r="J471" i="16"/>
  <c r="N471" i="16" s="1"/>
  <c r="U471" i="16" s="1"/>
  <c r="L471" i="16"/>
  <c r="M472" i="16"/>
  <c r="I472" i="16"/>
  <c r="J472" i="16" s="1"/>
  <c r="N472" i="16" s="1"/>
  <c r="M473" i="16"/>
  <c r="I473" i="16"/>
  <c r="J473" i="16" s="1"/>
  <c r="N473" i="16" s="1"/>
  <c r="M474" i="16"/>
  <c r="I474" i="16"/>
  <c r="J474" i="16" s="1"/>
  <c r="N474" i="16" s="1"/>
  <c r="L474" i="16"/>
  <c r="M475" i="16"/>
  <c r="N475" i="16" s="1"/>
  <c r="I475" i="16"/>
  <c r="J475" i="16"/>
  <c r="M476" i="16"/>
  <c r="N476" i="16" s="1"/>
  <c r="I476" i="16"/>
  <c r="J476" i="16"/>
  <c r="M477" i="16"/>
  <c r="N477" i="16" s="1"/>
  <c r="I477" i="16"/>
  <c r="J477" i="16"/>
  <c r="M480" i="16"/>
  <c r="I480" i="16"/>
  <c r="J480" i="16" s="1"/>
  <c r="N480" i="16" s="1"/>
  <c r="L480" i="16"/>
  <c r="M481" i="16"/>
  <c r="N481" i="16" s="1"/>
  <c r="I481" i="16"/>
  <c r="J481" i="16"/>
  <c r="M482" i="16"/>
  <c r="I482" i="16"/>
  <c r="J482" i="16"/>
  <c r="N482" i="16" s="1"/>
  <c r="L482" i="16"/>
  <c r="M483" i="16"/>
  <c r="I483" i="16"/>
  <c r="J483" i="16" s="1"/>
  <c r="N483" i="16" s="1"/>
  <c r="M484" i="16"/>
  <c r="I484" i="16"/>
  <c r="J484" i="16" s="1"/>
  <c r="N484" i="16" s="1"/>
  <c r="M485" i="16"/>
  <c r="I485" i="16"/>
  <c r="J485" i="16" s="1"/>
  <c r="N485" i="16" s="1"/>
  <c r="M486" i="16"/>
  <c r="I486" i="16"/>
  <c r="J486" i="16" s="1"/>
  <c r="M487" i="16"/>
  <c r="I487" i="16"/>
  <c r="J487" i="16" s="1"/>
  <c r="N487" i="16" s="1"/>
  <c r="M488" i="16"/>
  <c r="I488" i="16"/>
  <c r="J488" i="16" s="1"/>
  <c r="N488" i="16" s="1"/>
  <c r="M489" i="16"/>
  <c r="I489" i="16"/>
  <c r="J489" i="16" s="1"/>
  <c r="N489" i="16" s="1"/>
  <c r="L489" i="16"/>
  <c r="M490" i="16"/>
  <c r="I490" i="16"/>
  <c r="J490" i="16"/>
  <c r="M491" i="16"/>
  <c r="N491" i="16" s="1"/>
  <c r="I491" i="16"/>
  <c r="J491" i="16"/>
  <c r="M492" i="16"/>
  <c r="N492" i="16" s="1"/>
  <c r="I492" i="16"/>
  <c r="J492" i="16"/>
  <c r="M493" i="16"/>
  <c r="I493" i="16"/>
  <c r="J493" i="16"/>
  <c r="L493" i="16"/>
  <c r="N493" i="16"/>
  <c r="M494" i="16"/>
  <c r="I494" i="16"/>
  <c r="J494" i="16" s="1"/>
  <c r="M495" i="16"/>
  <c r="I495" i="16"/>
  <c r="J495" i="16" s="1"/>
  <c r="N495" i="16" s="1"/>
  <c r="L495" i="16"/>
  <c r="M496" i="16"/>
  <c r="N496" i="16" s="1"/>
  <c r="I496" i="16"/>
  <c r="J496" i="16"/>
  <c r="M497" i="16"/>
  <c r="I497" i="16"/>
  <c r="J497" i="16"/>
  <c r="N497" i="16" s="1"/>
  <c r="L497" i="16"/>
  <c r="M498" i="16"/>
  <c r="I498" i="16"/>
  <c r="J498" i="16" s="1"/>
  <c r="N498" i="16" s="1"/>
  <c r="M499" i="16"/>
  <c r="I499" i="16"/>
  <c r="J499" i="16" s="1"/>
  <c r="N499" i="16" s="1"/>
  <c r="L499" i="16"/>
  <c r="M500" i="16"/>
  <c r="I500" i="16"/>
  <c r="J500" i="16"/>
  <c r="L500" i="16"/>
  <c r="N500" i="16"/>
  <c r="M501" i="16"/>
  <c r="I501" i="16"/>
  <c r="J501" i="16" s="1"/>
  <c r="N501" i="16" s="1"/>
  <c r="U501" i="16" s="1"/>
  <c r="M504" i="16"/>
  <c r="N504" i="16" s="1"/>
  <c r="I504" i="16"/>
  <c r="J504" i="16"/>
  <c r="M505" i="16"/>
  <c r="N505" i="16" s="1"/>
  <c r="I505" i="16"/>
  <c r="J505" i="16"/>
  <c r="M506" i="16"/>
  <c r="N506" i="16" s="1"/>
  <c r="I506" i="16"/>
  <c r="J506" i="16"/>
  <c r="M507" i="16"/>
  <c r="N507" i="16" s="1"/>
  <c r="I507" i="16"/>
  <c r="J507" i="16"/>
  <c r="M508" i="16"/>
  <c r="N508" i="16" s="1"/>
  <c r="I508" i="16"/>
  <c r="J508" i="16"/>
  <c r="M509" i="16"/>
  <c r="N509" i="16" s="1"/>
  <c r="I509" i="16"/>
  <c r="J509" i="16"/>
  <c r="M510" i="16"/>
  <c r="I510" i="16"/>
  <c r="J510" i="16"/>
  <c r="M511" i="16"/>
  <c r="N511" i="16" s="1"/>
  <c r="I511" i="16"/>
  <c r="J511" i="16"/>
  <c r="M512" i="16"/>
  <c r="N512" i="16" s="1"/>
  <c r="I512" i="16"/>
  <c r="J512" i="16"/>
  <c r="M513" i="16"/>
  <c r="N513" i="16" s="1"/>
  <c r="I513" i="16"/>
  <c r="J513" i="16"/>
  <c r="M514" i="16"/>
  <c r="N514" i="16" s="1"/>
  <c r="I514" i="16"/>
  <c r="J514" i="16"/>
  <c r="M515" i="16"/>
  <c r="N515" i="16" s="1"/>
  <c r="I515" i="16"/>
  <c r="J515" i="16"/>
  <c r="M516" i="16"/>
  <c r="N516" i="16" s="1"/>
  <c r="I516" i="16"/>
  <c r="J516" i="16"/>
  <c r="M517" i="16"/>
  <c r="N517" i="16" s="1"/>
  <c r="I517" i="16"/>
  <c r="J517" i="16"/>
  <c r="M518" i="16"/>
  <c r="N518" i="16" s="1"/>
  <c r="I518" i="16"/>
  <c r="J518" i="16"/>
  <c r="M519" i="16"/>
  <c r="N519" i="16" s="1"/>
  <c r="I519" i="16"/>
  <c r="J519" i="16"/>
  <c r="M520" i="16"/>
  <c r="N520" i="16" s="1"/>
  <c r="I520" i="16"/>
  <c r="J520" i="16"/>
  <c r="M521" i="16"/>
  <c r="N521" i="16" s="1"/>
  <c r="I521" i="16"/>
  <c r="J521" i="16"/>
  <c r="M522" i="16"/>
  <c r="N522" i="16" s="1"/>
  <c r="I522" i="16"/>
  <c r="J522" i="16"/>
  <c r="M527" i="16"/>
  <c r="I527" i="16"/>
  <c r="J527" i="16" s="1"/>
  <c r="K527" i="16"/>
  <c r="L527" i="16" s="1"/>
  <c r="M528" i="16"/>
  <c r="I528" i="16"/>
  <c r="J528" i="16" s="1"/>
  <c r="N528" i="16" s="1"/>
  <c r="K528" i="16"/>
  <c r="L528" i="16" s="1"/>
  <c r="M529" i="16"/>
  <c r="I529" i="16"/>
  <c r="J529" i="16" s="1"/>
  <c r="K529" i="16"/>
  <c r="L529" i="16" s="1"/>
  <c r="M530" i="16"/>
  <c r="I530" i="16"/>
  <c r="J530" i="16" s="1"/>
  <c r="N530" i="16" s="1"/>
  <c r="K530" i="16"/>
  <c r="L530" i="16" s="1"/>
  <c r="M531" i="16"/>
  <c r="I531" i="16"/>
  <c r="J531" i="16" s="1"/>
  <c r="K531" i="16"/>
  <c r="L531" i="16" s="1"/>
  <c r="M532" i="16"/>
  <c r="I532" i="16"/>
  <c r="J532" i="16" s="1"/>
  <c r="N532" i="16" s="1"/>
  <c r="K532" i="16"/>
  <c r="L532" i="16" s="1"/>
  <c r="M533" i="16"/>
  <c r="I533" i="16"/>
  <c r="J533" i="16" s="1"/>
  <c r="K533" i="16"/>
  <c r="L533" i="16" s="1"/>
  <c r="M534" i="16"/>
  <c r="I534" i="16"/>
  <c r="J534" i="16" s="1"/>
  <c r="N534" i="16" s="1"/>
  <c r="K534" i="16"/>
  <c r="L534" i="16" s="1"/>
  <c r="M535" i="16"/>
  <c r="I535" i="16"/>
  <c r="J535" i="16" s="1"/>
  <c r="K535" i="16"/>
  <c r="L535" i="16" s="1"/>
  <c r="M536" i="16"/>
  <c r="I536" i="16"/>
  <c r="J536" i="16" s="1"/>
  <c r="N536" i="16" s="1"/>
  <c r="K536" i="16"/>
  <c r="L536" i="16" s="1"/>
  <c r="M537" i="16"/>
  <c r="I537" i="16"/>
  <c r="J537" i="16" s="1"/>
  <c r="K537" i="16"/>
  <c r="L537" i="16" s="1"/>
  <c r="M538" i="16"/>
  <c r="I538" i="16"/>
  <c r="J538" i="16" s="1"/>
  <c r="N538" i="16" s="1"/>
  <c r="K538" i="16"/>
  <c r="L538" i="16" s="1"/>
  <c r="M539" i="16"/>
  <c r="I539" i="16"/>
  <c r="J539" i="16" s="1"/>
  <c r="K539" i="16"/>
  <c r="L539" i="16" s="1"/>
  <c r="M540" i="16"/>
  <c r="I540" i="16"/>
  <c r="J540" i="16" s="1"/>
  <c r="N540" i="16" s="1"/>
  <c r="K540" i="16"/>
  <c r="L540" i="16" s="1"/>
  <c r="M541" i="16"/>
  <c r="I541" i="16"/>
  <c r="J541" i="16" s="1"/>
  <c r="K541" i="16"/>
  <c r="L541" i="16" s="1"/>
  <c r="M542" i="16"/>
  <c r="I542" i="16"/>
  <c r="J542" i="16" s="1"/>
  <c r="N542" i="16" s="1"/>
  <c r="K542" i="16"/>
  <c r="L542" i="16" s="1"/>
  <c r="M543" i="16"/>
  <c r="I543" i="16"/>
  <c r="J543" i="16" s="1"/>
  <c r="K543" i="16"/>
  <c r="L543" i="16" s="1"/>
  <c r="M544" i="16"/>
  <c r="I544" i="16"/>
  <c r="J544" i="16" s="1"/>
  <c r="N544" i="16" s="1"/>
  <c r="K544" i="16"/>
  <c r="L544" i="16" s="1"/>
  <c r="M545" i="16"/>
  <c r="I545" i="16"/>
  <c r="J545" i="16" s="1"/>
  <c r="K545" i="16"/>
  <c r="L545" i="16" s="1"/>
  <c r="M546" i="16"/>
  <c r="I546" i="16"/>
  <c r="J546" i="16" s="1"/>
  <c r="N546" i="16" s="1"/>
  <c r="K546" i="16"/>
  <c r="L546" i="16" s="1"/>
  <c r="M547" i="16"/>
  <c r="I547" i="16"/>
  <c r="J547" i="16" s="1"/>
  <c r="K547" i="16"/>
  <c r="L547" i="16" s="1"/>
  <c r="M548" i="16"/>
  <c r="I548" i="16"/>
  <c r="J548" i="16" s="1"/>
  <c r="N548" i="16" s="1"/>
  <c r="K548" i="16"/>
  <c r="L548" i="16" s="1"/>
  <c r="M549" i="16"/>
  <c r="I549" i="16"/>
  <c r="J549" i="16" s="1"/>
  <c r="K549" i="16"/>
  <c r="L549" i="16" s="1"/>
  <c r="M550" i="16"/>
  <c r="I550" i="16"/>
  <c r="J550" i="16" s="1"/>
  <c r="N550" i="16" s="1"/>
  <c r="K550" i="16"/>
  <c r="L550" i="16" s="1"/>
  <c r="M551" i="16"/>
  <c r="I551" i="16"/>
  <c r="J551" i="16" s="1"/>
  <c r="K551" i="16"/>
  <c r="L551" i="16" s="1"/>
  <c r="P551" i="16" s="1"/>
  <c r="M552" i="16"/>
  <c r="I552" i="16"/>
  <c r="J552" i="16" s="1"/>
  <c r="N552" i="16" s="1"/>
  <c r="K552" i="16"/>
  <c r="L552" i="16" s="1"/>
  <c r="M555" i="16"/>
  <c r="N555" i="16" s="1"/>
  <c r="I555" i="16"/>
  <c r="J555" i="16"/>
  <c r="K555" i="16"/>
  <c r="L555" i="16"/>
  <c r="M556" i="16"/>
  <c r="N556" i="16" s="1"/>
  <c r="I556" i="16"/>
  <c r="J556" i="16"/>
  <c r="K556" i="16"/>
  <c r="L556" i="16"/>
  <c r="M557" i="16"/>
  <c r="N557" i="16" s="1"/>
  <c r="I557" i="16"/>
  <c r="J557" i="16"/>
  <c r="K557" i="16"/>
  <c r="L557" i="16"/>
  <c r="M558" i="16"/>
  <c r="N558" i="16" s="1"/>
  <c r="I558" i="16"/>
  <c r="J558" i="16"/>
  <c r="K558" i="16"/>
  <c r="L558" i="16"/>
  <c r="M559" i="16"/>
  <c r="N559" i="16" s="1"/>
  <c r="I559" i="16"/>
  <c r="J559" i="16"/>
  <c r="K559" i="16"/>
  <c r="L559" i="16"/>
  <c r="M560" i="16"/>
  <c r="N560" i="16" s="1"/>
  <c r="I560" i="16"/>
  <c r="J560" i="16"/>
  <c r="K560" i="16"/>
  <c r="L560" i="16"/>
  <c r="M561" i="16"/>
  <c r="N561" i="16" s="1"/>
  <c r="I561" i="16"/>
  <c r="J561" i="16"/>
  <c r="K561" i="16"/>
  <c r="L561" i="16"/>
  <c r="M562" i="16"/>
  <c r="N562" i="16" s="1"/>
  <c r="I562" i="16"/>
  <c r="J562" i="16"/>
  <c r="K562" i="16"/>
  <c r="L562" i="16"/>
  <c r="M563" i="16"/>
  <c r="N563" i="16" s="1"/>
  <c r="I563" i="16"/>
  <c r="J563" i="16"/>
  <c r="K563" i="16"/>
  <c r="L563" i="16"/>
  <c r="M564" i="16"/>
  <c r="N564" i="16" s="1"/>
  <c r="I564" i="16"/>
  <c r="J564" i="16"/>
  <c r="K564" i="16"/>
  <c r="L564" i="16"/>
  <c r="M565" i="16"/>
  <c r="N565" i="16" s="1"/>
  <c r="I565" i="16"/>
  <c r="J565" i="16"/>
  <c r="K565" i="16"/>
  <c r="L565" i="16"/>
  <c r="M566" i="16"/>
  <c r="N566" i="16" s="1"/>
  <c r="I566" i="16"/>
  <c r="J566" i="16"/>
  <c r="K566" i="16"/>
  <c r="L566" i="16"/>
  <c r="M567" i="16"/>
  <c r="N567" i="16" s="1"/>
  <c r="U567" i="16" s="1"/>
  <c r="I567" i="16"/>
  <c r="J567" i="16"/>
  <c r="K567" i="16"/>
  <c r="L567" i="16"/>
  <c r="M568" i="16"/>
  <c r="N568" i="16" s="1"/>
  <c r="I568" i="16"/>
  <c r="J568" i="16"/>
  <c r="K568" i="16"/>
  <c r="L568" i="16"/>
  <c r="M569" i="16"/>
  <c r="N569" i="16" s="1"/>
  <c r="I569" i="16"/>
  <c r="J569" i="16"/>
  <c r="K569" i="16"/>
  <c r="L569" i="16"/>
  <c r="M570" i="16"/>
  <c r="N570" i="16" s="1"/>
  <c r="I570" i="16"/>
  <c r="J570" i="16"/>
  <c r="K570" i="16"/>
  <c r="L570" i="16"/>
  <c r="M571" i="16"/>
  <c r="N571" i="16" s="1"/>
  <c r="I571" i="16"/>
  <c r="J571" i="16"/>
  <c r="K571" i="16"/>
  <c r="L571" i="16"/>
  <c r="M572" i="16"/>
  <c r="N572" i="16" s="1"/>
  <c r="I572" i="16"/>
  <c r="J572" i="16"/>
  <c r="K572" i="16"/>
  <c r="L572" i="16"/>
  <c r="M573" i="16"/>
  <c r="N573" i="16" s="1"/>
  <c r="U573" i="16" s="1"/>
  <c r="I573" i="16"/>
  <c r="J573" i="16"/>
  <c r="K573" i="16"/>
  <c r="L573" i="16"/>
  <c r="M574" i="16"/>
  <c r="N574" i="16" s="1"/>
  <c r="I574" i="16"/>
  <c r="J574" i="16"/>
  <c r="K574" i="16"/>
  <c r="L574" i="16"/>
  <c r="M575" i="16"/>
  <c r="N575" i="16" s="1"/>
  <c r="I575" i="16"/>
  <c r="J575" i="16"/>
  <c r="K575" i="16"/>
  <c r="L575" i="16"/>
  <c r="M576" i="16"/>
  <c r="N576" i="16" s="1"/>
  <c r="I576" i="16"/>
  <c r="J576" i="16"/>
  <c r="K576" i="16"/>
  <c r="L576" i="16"/>
  <c r="M577" i="16"/>
  <c r="N577" i="16" s="1"/>
  <c r="I577" i="16"/>
  <c r="J577" i="16"/>
  <c r="K577" i="16"/>
  <c r="L577" i="16"/>
  <c r="M578" i="16"/>
  <c r="N578" i="16" s="1"/>
  <c r="I578" i="16"/>
  <c r="J578" i="16"/>
  <c r="K578" i="16"/>
  <c r="L578" i="16"/>
  <c r="M579" i="16"/>
  <c r="N579" i="16" s="1"/>
  <c r="I579" i="16"/>
  <c r="J579" i="16"/>
  <c r="K579" i="16"/>
  <c r="L579" i="16"/>
  <c r="M580" i="16"/>
  <c r="N580" i="16" s="1"/>
  <c r="I580" i="16"/>
  <c r="J580" i="16"/>
  <c r="K580" i="16"/>
  <c r="L580" i="16"/>
  <c r="M581" i="16"/>
  <c r="N581" i="16" s="1"/>
  <c r="I581" i="16"/>
  <c r="J581" i="16"/>
  <c r="K581" i="16"/>
  <c r="L581" i="16"/>
  <c r="M584" i="16"/>
  <c r="I584" i="16"/>
  <c r="J584" i="16" s="1"/>
  <c r="N584" i="16" s="1"/>
  <c r="K584" i="16"/>
  <c r="L584" i="16" s="1"/>
  <c r="M585" i="16"/>
  <c r="I585" i="16"/>
  <c r="J585" i="16" s="1"/>
  <c r="K585" i="16"/>
  <c r="L585" i="16" s="1"/>
  <c r="M586" i="16"/>
  <c r="I586" i="16"/>
  <c r="J586" i="16" s="1"/>
  <c r="N586" i="16" s="1"/>
  <c r="K586" i="16"/>
  <c r="L586" i="16" s="1"/>
  <c r="M587" i="16"/>
  <c r="I587" i="16"/>
  <c r="J587" i="16" s="1"/>
  <c r="K587" i="16"/>
  <c r="L587" i="16" s="1"/>
  <c r="M588" i="16"/>
  <c r="I588" i="16"/>
  <c r="J588" i="16" s="1"/>
  <c r="N588" i="16" s="1"/>
  <c r="K588" i="16"/>
  <c r="L588" i="16" s="1"/>
  <c r="M589" i="16"/>
  <c r="I589" i="16"/>
  <c r="J589" i="16" s="1"/>
  <c r="K589" i="16"/>
  <c r="L589" i="16" s="1"/>
  <c r="M590" i="16"/>
  <c r="I590" i="16"/>
  <c r="J590" i="16" s="1"/>
  <c r="N590" i="16" s="1"/>
  <c r="K590" i="16"/>
  <c r="L590" i="16" s="1"/>
  <c r="M591" i="16"/>
  <c r="I591" i="16"/>
  <c r="J591" i="16" s="1"/>
  <c r="K591" i="16"/>
  <c r="L591" i="16" s="1"/>
  <c r="M592" i="16"/>
  <c r="I592" i="16"/>
  <c r="J592" i="16" s="1"/>
  <c r="N592" i="16" s="1"/>
  <c r="K592" i="16"/>
  <c r="L592" i="16" s="1"/>
  <c r="M593" i="16"/>
  <c r="I593" i="16"/>
  <c r="J593" i="16" s="1"/>
  <c r="K593" i="16"/>
  <c r="L593" i="16" s="1"/>
  <c r="M594" i="16"/>
  <c r="I594" i="16"/>
  <c r="J594" i="16" s="1"/>
  <c r="N594" i="16" s="1"/>
  <c r="K594" i="16"/>
  <c r="L594" i="16" s="1"/>
  <c r="M595" i="16"/>
  <c r="I595" i="16"/>
  <c r="J595" i="16" s="1"/>
  <c r="K595" i="16"/>
  <c r="L595" i="16" s="1"/>
  <c r="P595" i="16" s="1"/>
  <c r="M596" i="16"/>
  <c r="I596" i="16"/>
  <c r="J596" i="16" s="1"/>
  <c r="N596" i="16" s="1"/>
  <c r="K596" i="16"/>
  <c r="L596" i="16" s="1"/>
  <c r="M597" i="16"/>
  <c r="I597" i="16"/>
  <c r="J597" i="16" s="1"/>
  <c r="K597" i="16"/>
  <c r="L597" i="16" s="1"/>
  <c r="P597" i="16" s="1"/>
  <c r="M598" i="16"/>
  <c r="I598" i="16"/>
  <c r="J598" i="16" s="1"/>
  <c r="N598" i="16" s="1"/>
  <c r="K598" i="16"/>
  <c r="L598" i="16" s="1"/>
  <c r="M599" i="16"/>
  <c r="I599" i="16"/>
  <c r="J599" i="16" s="1"/>
  <c r="K599" i="16"/>
  <c r="L599" i="16" s="1"/>
  <c r="M600" i="16"/>
  <c r="I600" i="16"/>
  <c r="J600" i="16" s="1"/>
  <c r="N600" i="16" s="1"/>
  <c r="K600" i="16"/>
  <c r="L600" i="16" s="1"/>
  <c r="M601" i="16"/>
  <c r="I601" i="16"/>
  <c r="J601" i="16" s="1"/>
  <c r="K601" i="16"/>
  <c r="L601" i="16" s="1"/>
  <c r="P601" i="16" s="1"/>
  <c r="M602" i="16"/>
  <c r="I602" i="16"/>
  <c r="J602" i="16" s="1"/>
  <c r="N602" i="16" s="1"/>
  <c r="K602" i="16"/>
  <c r="L602" i="16" s="1"/>
  <c r="M603" i="16"/>
  <c r="I603" i="16"/>
  <c r="J603" i="16" s="1"/>
  <c r="K603" i="16"/>
  <c r="L603" i="16" s="1"/>
  <c r="P603" i="16" s="1"/>
  <c r="M604" i="16"/>
  <c r="I604" i="16"/>
  <c r="J604" i="16" s="1"/>
  <c r="N604" i="16" s="1"/>
  <c r="K604" i="16"/>
  <c r="L604" i="16" s="1"/>
  <c r="M605" i="16"/>
  <c r="I605" i="16"/>
  <c r="J605" i="16" s="1"/>
  <c r="K605" i="16"/>
  <c r="L605" i="16" s="1"/>
  <c r="M608" i="16"/>
  <c r="N608" i="16" s="1"/>
  <c r="I608" i="16"/>
  <c r="J608" i="16"/>
  <c r="K608" i="16"/>
  <c r="L608" i="16"/>
  <c r="M609" i="16"/>
  <c r="N609" i="16" s="1"/>
  <c r="U609" i="16" s="1"/>
  <c r="I609" i="16"/>
  <c r="J609" i="16"/>
  <c r="K609" i="16"/>
  <c r="L609" i="16"/>
  <c r="M610" i="16"/>
  <c r="N610" i="16" s="1"/>
  <c r="I610" i="16"/>
  <c r="J610" i="16"/>
  <c r="K610" i="16"/>
  <c r="L610" i="16"/>
  <c r="M611" i="16"/>
  <c r="N611" i="16" s="1"/>
  <c r="I611" i="16"/>
  <c r="J611" i="16"/>
  <c r="K611" i="16"/>
  <c r="L611" i="16"/>
  <c r="M612" i="16"/>
  <c r="N612" i="16" s="1"/>
  <c r="I612" i="16"/>
  <c r="J612" i="16"/>
  <c r="K612" i="16"/>
  <c r="L612" i="16"/>
  <c r="M613" i="16"/>
  <c r="N613" i="16" s="1"/>
  <c r="I613" i="16"/>
  <c r="J613" i="16"/>
  <c r="K613" i="16"/>
  <c r="L613" i="16"/>
  <c r="M614" i="16"/>
  <c r="N614" i="16" s="1"/>
  <c r="I614" i="16"/>
  <c r="J614" i="16"/>
  <c r="K614" i="16"/>
  <c r="L614" i="16"/>
  <c r="M615" i="16"/>
  <c r="N615" i="16" s="1"/>
  <c r="I615" i="16"/>
  <c r="J615" i="16"/>
  <c r="K615" i="16"/>
  <c r="L615" i="16"/>
  <c r="M616" i="16"/>
  <c r="N616" i="16" s="1"/>
  <c r="I616" i="16"/>
  <c r="J616" i="16"/>
  <c r="K616" i="16"/>
  <c r="L616" i="16"/>
  <c r="M617" i="16"/>
  <c r="N617" i="16" s="1"/>
  <c r="I617" i="16"/>
  <c r="J617" i="16"/>
  <c r="K617" i="16"/>
  <c r="L617" i="16"/>
  <c r="M618" i="16"/>
  <c r="N618" i="16" s="1"/>
  <c r="I618" i="16"/>
  <c r="J618" i="16"/>
  <c r="K618" i="16"/>
  <c r="L618" i="16"/>
  <c r="M619" i="16"/>
  <c r="N619" i="16" s="1"/>
  <c r="I619" i="16"/>
  <c r="J619" i="16"/>
  <c r="K619" i="16"/>
  <c r="L619" i="16"/>
  <c r="M620" i="16"/>
  <c r="N620" i="16" s="1"/>
  <c r="I620" i="16"/>
  <c r="J620" i="16"/>
  <c r="K620" i="16"/>
  <c r="L620" i="16"/>
  <c r="M621" i="16"/>
  <c r="N621" i="16" s="1"/>
  <c r="I621" i="16"/>
  <c r="J621" i="16"/>
  <c r="K621" i="16"/>
  <c r="L621" i="16"/>
  <c r="M622" i="16"/>
  <c r="N622" i="16" s="1"/>
  <c r="I622" i="16"/>
  <c r="J622" i="16"/>
  <c r="K622" i="16"/>
  <c r="L622" i="16"/>
  <c r="M623" i="16"/>
  <c r="N623" i="16" s="1"/>
  <c r="U623" i="16" s="1"/>
  <c r="I623" i="16"/>
  <c r="J623" i="16"/>
  <c r="K623" i="16"/>
  <c r="L623" i="16"/>
  <c r="M624" i="16"/>
  <c r="N624" i="16" s="1"/>
  <c r="I624" i="16"/>
  <c r="J624" i="16"/>
  <c r="K624" i="16"/>
  <c r="L624" i="16"/>
  <c r="M625" i="16"/>
  <c r="N625" i="16" s="1"/>
  <c r="I625" i="16"/>
  <c r="J625" i="16"/>
  <c r="K625" i="16"/>
  <c r="L625" i="16"/>
  <c r="M626" i="16"/>
  <c r="N626" i="16" s="1"/>
  <c r="I626" i="16"/>
  <c r="J626" i="16"/>
  <c r="K626" i="16"/>
  <c r="L626" i="16"/>
  <c r="M627" i="16"/>
  <c r="N627" i="16" s="1"/>
  <c r="I627" i="16"/>
  <c r="J627" i="16"/>
  <c r="K627" i="16"/>
  <c r="L627" i="16"/>
  <c r="M628" i="16"/>
  <c r="N628" i="16" s="1"/>
  <c r="I628" i="16"/>
  <c r="J628" i="16"/>
  <c r="K628" i="16"/>
  <c r="L628" i="16"/>
  <c r="M629" i="16"/>
  <c r="N629" i="16" s="1"/>
  <c r="I629" i="16"/>
  <c r="J629" i="16"/>
  <c r="K629" i="16"/>
  <c r="L629" i="16"/>
  <c r="N630" i="16"/>
  <c r="M633" i="16"/>
  <c r="N633" i="16" s="1"/>
  <c r="N632" i="16" s="1"/>
  <c r="I633" i="16"/>
  <c r="J633" i="16"/>
  <c r="M637" i="16"/>
  <c r="I637" i="16"/>
  <c r="J637" i="16" s="1"/>
  <c r="N637" i="16" s="1"/>
  <c r="N636" i="16" s="1"/>
  <c r="M641" i="16"/>
  <c r="N641" i="16" s="1"/>
  <c r="N640" i="16" s="1"/>
  <c r="I641" i="16"/>
  <c r="J641" i="16"/>
  <c r="M645" i="16"/>
  <c r="I645" i="16"/>
  <c r="J645" i="16" s="1"/>
  <c r="N645" i="16" s="1"/>
  <c r="M646" i="16"/>
  <c r="I646" i="16"/>
  <c r="J646" i="16" s="1"/>
  <c r="N646" i="16" s="1"/>
  <c r="M647" i="16"/>
  <c r="I647" i="16"/>
  <c r="J647" i="16" s="1"/>
  <c r="N647" i="16" s="1"/>
  <c r="M648" i="16"/>
  <c r="I648" i="16"/>
  <c r="D648" i="16"/>
  <c r="J648" i="16"/>
  <c r="N648" i="16" s="1"/>
  <c r="F967" i="18"/>
  <c r="E5" i="15"/>
  <c r="E6" i="15"/>
  <c r="E7" i="15"/>
  <c r="D8" i="15"/>
  <c r="E8" i="15" s="1"/>
  <c r="F960" i="18" s="1"/>
  <c r="F57" i="9"/>
  <c r="B57" i="32"/>
  <c r="H51" i="32"/>
  <c r="H53" i="32" s="1"/>
  <c r="G51" i="32"/>
  <c r="H46" i="32"/>
  <c r="H38" i="32"/>
  <c r="H25" i="32"/>
  <c r="G46" i="32"/>
  <c r="G38" i="32"/>
  <c r="G25" i="32"/>
  <c r="B49" i="31"/>
  <c r="N24" i="31"/>
  <c r="N25" i="31"/>
  <c r="N23" i="31"/>
  <c r="N22" i="31"/>
  <c r="N19" i="31"/>
  <c r="N16" i="31"/>
  <c r="N20" i="31"/>
  <c r="A977" i="18"/>
  <c r="B41" i="26"/>
  <c r="AW28" i="26"/>
  <c r="AU28" i="26"/>
  <c r="AS28" i="26"/>
  <c r="AQ28" i="26"/>
  <c r="AO28" i="26"/>
  <c r="AM28" i="26"/>
  <c r="AK28" i="26"/>
  <c r="AI28" i="26"/>
  <c r="AG28" i="26"/>
  <c r="AE28" i="26"/>
  <c r="AC28" i="26"/>
  <c r="AA28" i="26"/>
  <c r="Y28" i="26"/>
  <c r="W28" i="26"/>
  <c r="U28" i="26"/>
  <c r="S28" i="26"/>
  <c r="Q28" i="26"/>
  <c r="AW27" i="26"/>
  <c r="AU27" i="26"/>
  <c r="AS27" i="26"/>
  <c r="AQ27" i="26"/>
  <c r="AO27" i="26"/>
  <c r="AM27" i="26"/>
  <c r="AK27" i="26"/>
  <c r="AI27" i="26"/>
  <c r="AG27" i="26"/>
  <c r="AE27" i="26"/>
  <c r="AC27" i="26"/>
  <c r="AA27" i="26"/>
  <c r="Y27" i="26"/>
  <c r="W27" i="26"/>
  <c r="U27" i="26"/>
  <c r="S27" i="26"/>
  <c r="Q27" i="26"/>
  <c r="AW26" i="26"/>
  <c r="AU26" i="26"/>
  <c r="AS26" i="26"/>
  <c r="AQ26" i="26"/>
  <c r="AO26" i="26"/>
  <c r="AM26" i="26"/>
  <c r="AK26" i="26"/>
  <c r="AI26" i="26"/>
  <c r="AG26" i="26"/>
  <c r="AE26" i="26"/>
  <c r="AC26" i="26"/>
  <c r="AA26" i="26"/>
  <c r="Y26" i="26"/>
  <c r="W26" i="26"/>
  <c r="U26" i="26"/>
  <c r="S26" i="26"/>
  <c r="Q26" i="26"/>
  <c r="AA25" i="26"/>
  <c r="N17" i="31"/>
  <c r="B42" i="26"/>
  <c r="B40" i="26"/>
  <c r="B39" i="26"/>
  <c r="B26" i="26"/>
  <c r="B25" i="26"/>
  <c r="B38" i="26"/>
  <c r="F744" i="18"/>
  <c r="F671" i="18"/>
  <c r="F670" i="18"/>
  <c r="F664" i="18"/>
  <c r="F632" i="18"/>
  <c r="F614" i="18"/>
  <c r="F559" i="18"/>
  <c r="F194" i="18"/>
  <c r="G859" i="18"/>
  <c r="G858" i="18"/>
  <c r="G857" i="18"/>
  <c r="G856" i="18"/>
  <c r="G855" i="18"/>
  <c r="G854" i="18"/>
  <c r="G850" i="18"/>
  <c r="H32" i="30"/>
  <c r="G32" i="30"/>
  <c r="F32" i="30"/>
  <c r="J32" i="30"/>
  <c r="L32" i="30" s="1"/>
  <c r="P11" i="30"/>
  <c r="J9" i="30"/>
  <c r="L9" i="30"/>
  <c r="J12" i="30"/>
  <c r="L12" i="30"/>
  <c r="J13" i="30"/>
  <c r="L13" i="30"/>
  <c r="J14" i="30"/>
  <c r="L14" i="30"/>
  <c r="J15" i="30"/>
  <c r="L15" i="30"/>
  <c r="J16" i="30"/>
  <c r="L16" i="30"/>
  <c r="J17" i="30"/>
  <c r="L17" i="30"/>
  <c r="J18" i="30"/>
  <c r="L18" i="30"/>
  <c r="J19" i="30"/>
  <c r="L19" i="30"/>
  <c r="J20" i="30"/>
  <c r="L20" i="30"/>
  <c r="J21" i="30"/>
  <c r="L21" i="30"/>
  <c r="J22" i="30"/>
  <c r="L22" i="30"/>
  <c r="J23" i="30"/>
  <c r="L23" i="30"/>
  <c r="J24" i="30"/>
  <c r="L24" i="30"/>
  <c r="J25" i="30"/>
  <c r="L25" i="30"/>
  <c r="J26" i="30"/>
  <c r="L26" i="30"/>
  <c r="J27" i="30"/>
  <c r="L27" i="30"/>
  <c r="J28" i="30"/>
  <c r="L28" i="30"/>
  <c r="J29" i="30"/>
  <c r="L29" i="30"/>
  <c r="J30" i="30"/>
  <c r="L30" i="30"/>
  <c r="J31" i="30"/>
  <c r="L31" i="30"/>
  <c r="J33" i="30"/>
  <c r="L33" i="30"/>
  <c r="F40" i="30"/>
  <c r="J40" i="30" s="1"/>
  <c r="L40" i="30" s="1"/>
  <c r="H40" i="30"/>
  <c r="F39" i="30"/>
  <c r="F37" i="30"/>
  <c r="F36" i="30"/>
  <c r="F38" i="30"/>
  <c r="F35" i="30"/>
  <c r="G35" i="30"/>
  <c r="J35" i="30" s="1"/>
  <c r="L35" i="30" s="1"/>
  <c r="H35" i="30"/>
  <c r="F34" i="30"/>
  <c r="J34" i="30" s="1"/>
  <c r="L34" i="30" s="1"/>
  <c r="H39" i="30"/>
  <c r="G39" i="30"/>
  <c r="J39" i="30" s="1"/>
  <c r="L39" i="30" s="1"/>
  <c r="H37" i="30"/>
  <c r="H36" i="30"/>
  <c r="H38" i="30" s="1"/>
  <c r="H41" i="30" s="1"/>
  <c r="H34" i="30"/>
  <c r="F11" i="30"/>
  <c r="H11" i="30"/>
  <c r="J11" i="30"/>
  <c r="L11" i="30" s="1"/>
  <c r="J8" i="30"/>
  <c r="L8" i="30" s="1"/>
  <c r="G37" i="30"/>
  <c r="G36" i="30"/>
  <c r="G38" i="30"/>
  <c r="G41" i="30" s="1"/>
  <c r="G34" i="30"/>
  <c r="G10" i="30"/>
  <c r="J10" i="30"/>
  <c r="L10" i="30" s="1"/>
  <c r="S6" i="7"/>
  <c r="S7" i="7"/>
  <c r="S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E23" i="15"/>
  <c r="E22" i="15"/>
  <c r="E30" i="15"/>
  <c r="E21" i="15"/>
  <c r="E29" i="15"/>
  <c r="E20" i="15"/>
  <c r="E14" i="15"/>
  <c r="E28" i="15"/>
  <c r="E19" i="15"/>
  <c r="E13" i="15"/>
  <c r="D27" i="15"/>
  <c r="E27" i="15"/>
  <c r="E31" i="15" s="1"/>
  <c r="F963" i="18" s="1"/>
  <c r="E18" i="15"/>
  <c r="E24" i="15"/>
  <c r="F962" i="18" s="1"/>
  <c r="E12" i="15"/>
  <c r="E15" i="15" s="1"/>
  <c r="F961" i="18" s="1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K299" i="23"/>
  <c r="K298" i="23"/>
  <c r="K297" i="23"/>
  <c r="K296" i="23"/>
  <c r="K295" i="23"/>
  <c r="K294" i="23"/>
  <c r="K293" i="23"/>
  <c r="K292" i="23"/>
  <c r="K291" i="23"/>
  <c r="K290" i="23"/>
  <c r="K289" i="23"/>
  <c r="K288" i="23"/>
  <c r="K287" i="23"/>
  <c r="K286" i="23"/>
  <c r="K285" i="23"/>
  <c r="K284" i="23"/>
  <c r="K283" i="23"/>
  <c r="K282" i="23"/>
  <c r="K281" i="23"/>
  <c r="K280" i="23"/>
  <c r="K279" i="23"/>
  <c r="K278" i="23"/>
  <c r="K277" i="23"/>
  <c r="K276" i="23"/>
  <c r="K275" i="23"/>
  <c r="K274" i="23"/>
  <c r="K273" i="23"/>
  <c r="I273" i="23"/>
  <c r="E32" i="9"/>
  <c r="F32" i="9" s="1"/>
  <c r="E53" i="9"/>
  <c r="F53" i="9" s="1"/>
  <c r="E52" i="9"/>
  <c r="F52" i="9" s="1"/>
  <c r="E51" i="9"/>
  <c r="F51" i="9" s="1"/>
  <c r="E50" i="9"/>
  <c r="F50" i="9" s="1"/>
  <c r="E49" i="9"/>
  <c r="F49" i="9" s="1"/>
  <c r="E47" i="9"/>
  <c r="F47" i="9" s="1"/>
  <c r="E46" i="9"/>
  <c r="F46" i="9" s="1"/>
  <c r="E45" i="9"/>
  <c r="F45" i="9" s="1"/>
  <c r="E44" i="9"/>
  <c r="F44" i="9" s="1"/>
  <c r="E43" i="9"/>
  <c r="F43" i="9" s="1"/>
  <c r="E42" i="9"/>
  <c r="F42" i="9" s="1"/>
  <c r="E41" i="9"/>
  <c r="F41" i="9" s="1"/>
  <c r="E40" i="9"/>
  <c r="F40" i="9" s="1"/>
  <c r="E38" i="9"/>
  <c r="F38" i="9" s="1"/>
  <c r="E37" i="9"/>
  <c r="F37" i="9" s="1"/>
  <c r="E36" i="9"/>
  <c r="F36" i="9" s="1"/>
  <c r="E35" i="9"/>
  <c r="F35" i="9" s="1"/>
  <c r="E34" i="9"/>
  <c r="F34" i="9" s="1"/>
  <c r="E33" i="9"/>
  <c r="F33" i="9" s="1"/>
  <c r="E31" i="9"/>
  <c r="F31" i="9" s="1"/>
  <c r="E30" i="9"/>
  <c r="F30" i="9" s="1"/>
  <c r="E28" i="9"/>
  <c r="F28" i="9" s="1"/>
  <c r="E27" i="9"/>
  <c r="F27" i="9" s="1"/>
  <c r="E26" i="9"/>
  <c r="F26" i="9" s="1"/>
  <c r="E25" i="9"/>
  <c r="F25" i="9" s="1"/>
  <c r="E24" i="9"/>
  <c r="F24" i="9" s="1"/>
  <c r="E23" i="9"/>
  <c r="F23" i="9" s="1"/>
  <c r="E22" i="9"/>
  <c r="F22" i="9" s="1"/>
  <c r="E21" i="9"/>
  <c r="F21" i="9" s="1"/>
  <c r="E20" i="9"/>
  <c r="F20" i="9" s="1"/>
  <c r="E19" i="9"/>
  <c r="F19" i="9" s="1"/>
  <c r="E18" i="9"/>
  <c r="F18" i="9" s="1"/>
  <c r="E16" i="9"/>
  <c r="F16" i="9" s="1"/>
  <c r="E15" i="9"/>
  <c r="F15" i="9" s="1"/>
  <c r="E14" i="9"/>
  <c r="F14" i="9" s="1"/>
  <c r="E13" i="9"/>
  <c r="F13" i="9" s="1"/>
  <c r="E12" i="9"/>
  <c r="F12" i="9" s="1"/>
  <c r="E11" i="9"/>
  <c r="F11" i="9" s="1"/>
  <c r="E10" i="9"/>
  <c r="F10" i="9" s="1"/>
  <c r="E9" i="9"/>
  <c r="F9" i="9" s="1"/>
  <c r="E8" i="9"/>
  <c r="F8" i="9" s="1"/>
  <c r="E7" i="9"/>
  <c r="F7" i="9" s="1"/>
  <c r="F6" i="9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689" i="20"/>
  <c r="I688" i="20"/>
  <c r="I687" i="20"/>
  <c r="I686" i="20"/>
  <c r="I685" i="20"/>
  <c r="I684" i="20"/>
  <c r="I683" i="20"/>
  <c r="I682" i="20"/>
  <c r="I681" i="20"/>
  <c r="I680" i="20"/>
  <c r="I679" i="20"/>
  <c r="I678" i="20"/>
  <c r="I677" i="20"/>
  <c r="I676" i="20"/>
  <c r="I675" i="20"/>
  <c r="I674" i="20"/>
  <c r="I673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B37" i="26"/>
  <c r="B36" i="26"/>
  <c r="B35" i="26"/>
  <c r="B34" i="26"/>
  <c r="D17" i="21"/>
  <c r="D22" i="21"/>
  <c r="B18" i="26"/>
  <c r="B33" i="26"/>
  <c r="B32" i="26"/>
  <c r="B31" i="26"/>
  <c r="B30" i="26"/>
  <c r="B29" i="26"/>
  <c r="B28" i="26"/>
  <c r="B27" i="26"/>
  <c r="B24" i="26"/>
  <c r="B23" i="26"/>
  <c r="B22" i="26"/>
  <c r="B21" i="26"/>
  <c r="B20" i="26"/>
  <c r="I12" i="26"/>
  <c r="I11" i="26"/>
  <c r="A12" i="26"/>
  <c r="A11" i="26"/>
  <c r="I268" i="23"/>
  <c r="K267" i="23"/>
  <c r="K266" i="23"/>
  <c r="K265" i="23"/>
  <c r="K264" i="23"/>
  <c r="K263" i="23"/>
  <c r="K262" i="23"/>
  <c r="K261" i="23"/>
  <c r="K260" i="23"/>
  <c r="K259" i="23"/>
  <c r="K258" i="23"/>
  <c r="K257" i="23"/>
  <c r="K256" i="23"/>
  <c r="K255" i="23"/>
  <c r="K254" i="23"/>
  <c r="K253" i="23"/>
  <c r="K252" i="23"/>
  <c r="K251" i="23"/>
  <c r="K250" i="23"/>
  <c r="K249" i="23"/>
  <c r="K248" i="23"/>
  <c r="K247" i="23"/>
  <c r="K246" i="23"/>
  <c r="K245" i="23"/>
  <c r="K244" i="23"/>
  <c r="K243" i="23"/>
  <c r="K242" i="23"/>
  <c r="K241" i="23"/>
  <c r="K240" i="23"/>
  <c r="K239" i="23"/>
  <c r="K238" i="23"/>
  <c r="K237" i="23"/>
  <c r="K236" i="23"/>
  <c r="K235" i="23"/>
  <c r="K234" i="23"/>
  <c r="K233" i="23"/>
  <c r="K232" i="23"/>
  <c r="K231" i="23"/>
  <c r="K230" i="23"/>
  <c r="K229" i="23"/>
  <c r="K228" i="23"/>
  <c r="K227" i="23"/>
  <c r="K226" i="23"/>
  <c r="K225" i="23"/>
  <c r="K224" i="23"/>
  <c r="K223" i="23"/>
  <c r="K222" i="23"/>
  <c r="K221" i="23"/>
  <c r="K220" i="23"/>
  <c r="K219" i="23"/>
  <c r="K218" i="23"/>
  <c r="K217" i="23"/>
  <c r="K216" i="23"/>
  <c r="K215" i="23"/>
  <c r="K214" i="23"/>
  <c r="K213" i="23"/>
  <c r="K212" i="23"/>
  <c r="K211" i="23"/>
  <c r="K210" i="23"/>
  <c r="K209" i="23"/>
  <c r="K208" i="23"/>
  <c r="K207" i="23"/>
  <c r="K206" i="23"/>
  <c r="K205" i="23"/>
  <c r="K204" i="23"/>
  <c r="K203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82" i="23"/>
  <c r="K81" i="23"/>
  <c r="K80" i="23"/>
  <c r="K79" i="23"/>
  <c r="K78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9" i="23"/>
  <c r="K268" i="23"/>
  <c r="I318" i="23"/>
  <c r="G318" i="23"/>
  <c r="J318" i="23" s="1"/>
  <c r="I317" i="23"/>
  <c r="G317" i="23"/>
  <c r="J317" i="23" s="1"/>
  <c r="I316" i="23"/>
  <c r="G316" i="23"/>
  <c r="J316" i="23"/>
  <c r="I315" i="23"/>
  <c r="J315" i="23" s="1"/>
  <c r="G315" i="23"/>
  <c r="I314" i="23"/>
  <c r="G314" i="23"/>
  <c r="J314" i="23" s="1"/>
  <c r="I313" i="23"/>
  <c r="G313" i="23"/>
  <c r="J313" i="23" s="1"/>
  <c r="I312" i="23"/>
  <c r="G312" i="23"/>
  <c r="J312" i="23"/>
  <c r="I311" i="23"/>
  <c r="J311" i="23" s="1"/>
  <c r="G311" i="23"/>
  <c r="I310" i="23"/>
  <c r="G310" i="23"/>
  <c r="J310" i="23" s="1"/>
  <c r="I309" i="23"/>
  <c r="G309" i="23"/>
  <c r="J309" i="23" s="1"/>
  <c r="I308" i="23"/>
  <c r="G308" i="23"/>
  <c r="J308" i="23"/>
  <c r="I307" i="23"/>
  <c r="J307" i="23" s="1"/>
  <c r="G307" i="23"/>
  <c r="I306" i="23"/>
  <c r="G306" i="23"/>
  <c r="J306" i="23" s="1"/>
  <c r="I305" i="23"/>
  <c r="G305" i="23"/>
  <c r="J305" i="23" s="1"/>
  <c r="I304" i="23"/>
  <c r="G304" i="23"/>
  <c r="J304" i="23"/>
  <c r="I303" i="23"/>
  <c r="J303" i="23" s="1"/>
  <c r="G303" i="23"/>
  <c r="I302" i="23"/>
  <c r="G302" i="23"/>
  <c r="J302" i="23" s="1"/>
  <c r="I301" i="23"/>
  <c r="G301" i="23"/>
  <c r="J301" i="23" s="1"/>
  <c r="I300" i="23"/>
  <c r="G300" i="23"/>
  <c r="J300" i="23"/>
  <c r="I299" i="23"/>
  <c r="G299" i="23"/>
  <c r="J299" i="23" s="1"/>
  <c r="I298" i="23"/>
  <c r="G298" i="23"/>
  <c r="J298" i="23" s="1"/>
  <c r="I297" i="23"/>
  <c r="G297" i="23"/>
  <c r="J297" i="23"/>
  <c r="I296" i="23"/>
  <c r="G296" i="23"/>
  <c r="J296" i="23" s="1"/>
  <c r="I295" i="23"/>
  <c r="J295" i="23" s="1"/>
  <c r="G295" i="23"/>
  <c r="I294" i="23"/>
  <c r="G294" i="23"/>
  <c r="J294" i="23" s="1"/>
  <c r="I293" i="23"/>
  <c r="G293" i="23"/>
  <c r="J293" i="23"/>
  <c r="I292" i="23"/>
  <c r="G292" i="23"/>
  <c r="J292" i="23" s="1"/>
  <c r="I291" i="23"/>
  <c r="G291" i="23"/>
  <c r="J291" i="23"/>
  <c r="I290" i="23"/>
  <c r="G290" i="23"/>
  <c r="J290" i="23" s="1"/>
  <c r="I289" i="23"/>
  <c r="J289" i="23" s="1"/>
  <c r="G289" i="23"/>
  <c r="I288" i="23"/>
  <c r="G288" i="23"/>
  <c r="J288" i="23" s="1"/>
  <c r="I287" i="23"/>
  <c r="J287" i="23" s="1"/>
  <c r="G287" i="23"/>
  <c r="I286" i="23"/>
  <c r="G286" i="23"/>
  <c r="J286" i="23" s="1"/>
  <c r="I285" i="23"/>
  <c r="G285" i="23"/>
  <c r="J285" i="23"/>
  <c r="I284" i="23"/>
  <c r="G284" i="23"/>
  <c r="J284" i="23" s="1"/>
  <c r="I283" i="23"/>
  <c r="G283" i="23"/>
  <c r="J283" i="23"/>
  <c r="I282" i="23"/>
  <c r="G282" i="23"/>
  <c r="J282" i="23" s="1"/>
  <c r="I281" i="23"/>
  <c r="J281" i="23" s="1"/>
  <c r="G281" i="23"/>
  <c r="I280" i="23"/>
  <c r="G280" i="23"/>
  <c r="J280" i="23" s="1"/>
  <c r="I279" i="23"/>
  <c r="G279" i="23"/>
  <c r="J279" i="23"/>
  <c r="I278" i="23"/>
  <c r="G278" i="23"/>
  <c r="J278" i="23" s="1"/>
  <c r="I277" i="23"/>
  <c r="G277" i="23"/>
  <c r="J277" i="23"/>
  <c r="I276" i="23"/>
  <c r="G276" i="23"/>
  <c r="J276" i="23" s="1"/>
  <c r="I275" i="23"/>
  <c r="G275" i="23"/>
  <c r="J275" i="23"/>
  <c r="I274" i="23"/>
  <c r="G274" i="23"/>
  <c r="J274" i="23" s="1"/>
  <c r="G273" i="23"/>
  <c r="J273" i="23" s="1"/>
  <c r="F318" i="23"/>
  <c r="F317" i="23"/>
  <c r="F316" i="23"/>
  <c r="F315" i="23"/>
  <c r="F314" i="23"/>
  <c r="F313" i="23"/>
  <c r="F312" i="23"/>
  <c r="F311" i="23"/>
  <c r="F310" i="23"/>
  <c r="F309" i="23"/>
  <c r="F308" i="23"/>
  <c r="F307" i="23"/>
  <c r="F306" i="23"/>
  <c r="F305" i="23"/>
  <c r="F304" i="23"/>
  <c r="F303" i="23"/>
  <c r="F302" i="23"/>
  <c r="F301" i="23"/>
  <c r="F300" i="23"/>
  <c r="F299" i="23"/>
  <c r="F298" i="23"/>
  <c r="F297" i="23"/>
  <c r="F296" i="23"/>
  <c r="F295" i="23"/>
  <c r="F294" i="23"/>
  <c r="F293" i="23"/>
  <c r="F292" i="23"/>
  <c r="F291" i="23"/>
  <c r="F290" i="23"/>
  <c r="F289" i="23"/>
  <c r="F288" i="23"/>
  <c r="F287" i="23"/>
  <c r="F286" i="23"/>
  <c r="F285" i="23"/>
  <c r="F284" i="23"/>
  <c r="F283" i="23"/>
  <c r="F282" i="23"/>
  <c r="F281" i="23"/>
  <c r="F280" i="23"/>
  <c r="F279" i="23"/>
  <c r="F278" i="23"/>
  <c r="F277" i="23"/>
  <c r="F276" i="23"/>
  <c r="F275" i="23"/>
  <c r="F274" i="23"/>
  <c r="F273" i="23"/>
  <c r="N3" i="24"/>
  <c r="L3" i="24"/>
  <c r="K3" i="24"/>
  <c r="M3" i="24" s="1"/>
  <c r="A4" i="24"/>
  <c r="A5" i="24" s="1"/>
  <c r="J267" i="23"/>
  <c r="J266" i="23"/>
  <c r="J265" i="23"/>
  <c r="J264" i="23"/>
  <c r="J263" i="23"/>
  <c r="J262" i="23"/>
  <c r="J261" i="23"/>
  <c r="J260" i="23"/>
  <c r="J259" i="23"/>
  <c r="J258" i="23"/>
  <c r="J257" i="23"/>
  <c r="J256" i="23"/>
  <c r="J255" i="23"/>
  <c r="J254" i="23"/>
  <c r="J253" i="23"/>
  <c r="J252" i="23"/>
  <c r="J251" i="23"/>
  <c r="J250" i="23"/>
  <c r="J248" i="23"/>
  <c r="J247" i="23"/>
  <c r="J246" i="23"/>
  <c r="J245" i="23"/>
  <c r="J242" i="23"/>
  <c r="J241" i="23"/>
  <c r="J240" i="23"/>
  <c r="J239" i="23"/>
  <c r="J238" i="23"/>
  <c r="J237" i="23"/>
  <c r="J236" i="23"/>
  <c r="J235" i="23"/>
  <c r="J234" i="23"/>
  <c r="J233" i="23"/>
  <c r="J232" i="23"/>
  <c r="J231" i="23"/>
  <c r="J230" i="23"/>
  <c r="J229" i="23"/>
  <c r="J228" i="23"/>
  <c r="J227" i="23"/>
  <c r="J226" i="23"/>
  <c r="J225" i="23"/>
  <c r="J224" i="23"/>
  <c r="J223" i="23"/>
  <c r="J222" i="23"/>
  <c r="J221" i="23"/>
  <c r="J220" i="23"/>
  <c r="J219" i="23"/>
  <c r="J218" i="23"/>
  <c r="J217" i="23"/>
  <c r="J215" i="23"/>
  <c r="J214" i="23"/>
  <c r="J213" i="23"/>
  <c r="J212" i="23"/>
  <c r="J209" i="23"/>
  <c r="J208" i="23"/>
  <c r="J207" i="23"/>
  <c r="J206" i="23"/>
  <c r="J205" i="23"/>
  <c r="J204" i="23"/>
  <c r="J203" i="23"/>
  <c r="J202" i="23"/>
  <c r="J201" i="23"/>
  <c r="J200" i="23"/>
  <c r="J199" i="23"/>
  <c r="J198" i="23"/>
  <c r="J197" i="23"/>
  <c r="J195" i="23"/>
  <c r="J193" i="23"/>
  <c r="J192" i="23"/>
  <c r="J189" i="23"/>
  <c r="J188" i="23"/>
  <c r="J187" i="23"/>
  <c r="J186" i="23"/>
  <c r="J183" i="23"/>
  <c r="J182" i="23"/>
  <c r="J181" i="23"/>
  <c r="J180" i="23"/>
  <c r="J179" i="23"/>
  <c r="J178" i="23"/>
  <c r="J177" i="23"/>
  <c r="J176" i="23"/>
  <c r="J175" i="23"/>
  <c r="J174" i="23"/>
  <c r="J173" i="23"/>
  <c r="J172" i="23"/>
  <c r="J171" i="23"/>
  <c r="J170" i="23"/>
  <c r="J169" i="23"/>
  <c r="J168" i="23"/>
  <c r="J167" i="23"/>
  <c r="J166" i="23"/>
  <c r="J165" i="23"/>
  <c r="J164" i="23"/>
  <c r="J162" i="23"/>
  <c r="J160" i="23"/>
  <c r="J158" i="23"/>
  <c r="J155" i="23"/>
  <c r="J154" i="23"/>
  <c r="J153" i="23"/>
  <c r="J152" i="23"/>
  <c r="J125" i="23"/>
  <c r="J123" i="23"/>
  <c r="J121" i="23"/>
  <c r="J111" i="23"/>
  <c r="J110" i="23"/>
  <c r="J109" i="23"/>
  <c r="J108" i="23"/>
  <c r="J107" i="23"/>
  <c r="J106" i="23"/>
  <c r="J105" i="23"/>
  <c r="J104" i="23"/>
  <c r="J103" i="23"/>
  <c r="J102" i="23"/>
  <c r="J101" i="23"/>
  <c r="J100" i="23"/>
  <c r="J99" i="23"/>
  <c r="J98" i="23"/>
  <c r="J97" i="23"/>
  <c r="J96" i="23"/>
  <c r="J95" i="23"/>
  <c r="J93" i="23"/>
  <c r="J91" i="23"/>
  <c r="J89" i="23"/>
  <c r="J86" i="23"/>
  <c r="J85" i="23"/>
  <c r="J84" i="23"/>
  <c r="J83" i="23"/>
  <c r="J82" i="23"/>
  <c r="J79" i="23"/>
  <c r="J78" i="23"/>
  <c r="J77" i="23"/>
  <c r="J76" i="23"/>
  <c r="J75" i="23"/>
  <c r="J74" i="23"/>
  <c r="J73" i="23"/>
  <c r="J72" i="23"/>
  <c r="J71" i="23"/>
  <c r="J70" i="23"/>
  <c r="J68" i="23"/>
  <c r="J66" i="23"/>
  <c r="J64" i="23"/>
  <c r="J61" i="23"/>
  <c r="J60" i="23"/>
  <c r="J59" i="23"/>
  <c r="J58" i="23"/>
  <c r="J57" i="23"/>
  <c r="J54" i="23"/>
  <c r="J53" i="23"/>
  <c r="J52" i="23"/>
  <c r="J51" i="23"/>
  <c r="J50" i="23"/>
  <c r="J49" i="23"/>
  <c r="J48" i="23"/>
  <c r="J47" i="23"/>
  <c r="J46" i="23"/>
  <c r="J45" i="23"/>
  <c r="J44" i="23"/>
  <c r="J43" i="23"/>
  <c r="J42" i="23"/>
  <c r="J41" i="23"/>
  <c r="J40" i="23"/>
  <c r="J39" i="23"/>
  <c r="J38" i="23"/>
  <c r="J37" i="23"/>
  <c r="J36" i="23"/>
  <c r="J35" i="23"/>
  <c r="J34" i="23"/>
  <c r="J33" i="23"/>
  <c r="J32" i="23"/>
  <c r="J31" i="23"/>
  <c r="J30" i="23"/>
  <c r="J29" i="23"/>
  <c r="J28" i="23"/>
  <c r="J27" i="23"/>
  <c r="J26" i="23"/>
  <c r="J25" i="23"/>
  <c r="J24" i="23"/>
  <c r="J22" i="23"/>
  <c r="J20" i="23"/>
  <c r="J18" i="23"/>
  <c r="J17" i="23"/>
  <c r="J14" i="23"/>
  <c r="J13" i="23"/>
  <c r="J12" i="23"/>
  <c r="J11" i="23"/>
  <c r="J10" i="23"/>
  <c r="J9" i="23"/>
  <c r="J268" i="23"/>
  <c r="I533" i="20"/>
  <c r="I532" i="20"/>
  <c r="I531" i="20"/>
  <c r="I530" i="20"/>
  <c r="I529" i="20"/>
  <c r="I528" i="20"/>
  <c r="I527" i="20"/>
  <c r="I526" i="20"/>
  <c r="I525" i="20"/>
  <c r="I524" i="20"/>
  <c r="I523" i="20"/>
  <c r="I522" i="20" s="1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8" i="20"/>
  <c r="I507" i="20"/>
  <c r="I506" i="20"/>
  <c r="I505" i="20"/>
  <c r="I504" i="20"/>
  <c r="I503" i="20"/>
  <c r="I502" i="20"/>
  <c r="I500" i="20"/>
  <c r="I499" i="20"/>
  <c r="I498" i="20"/>
  <c r="I497" i="20"/>
  <c r="I496" i="20"/>
  <c r="I495" i="20"/>
  <c r="I494" i="20"/>
  <c r="I493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 s="1"/>
  <c r="I466" i="20"/>
  <c r="I465" i="20"/>
  <c r="I464" i="20"/>
  <c r="I463" i="20"/>
  <c r="I462" i="20"/>
  <c r="I461" i="20"/>
  <c r="I460" i="20"/>
  <c r="I457" i="20"/>
  <c r="I456" i="20"/>
  <c r="I455" i="20"/>
  <c r="I454" i="20"/>
  <c r="I453" i="20"/>
  <c r="I452" i="20"/>
  <c r="I451" i="20"/>
  <c r="I450" i="20"/>
  <c r="I449" i="20"/>
  <c r="I448" i="20"/>
  <c r="I447" i="20"/>
  <c r="I445" i="20"/>
  <c r="I444" i="20"/>
  <c r="I442" i="20" s="1"/>
  <c r="I443" i="20"/>
  <c r="I441" i="20"/>
  <c r="I440" i="20"/>
  <c r="I439" i="20"/>
  <c r="I438" i="20"/>
  <c r="I436" i="20"/>
  <c r="I435" i="20"/>
  <c r="I434" i="20"/>
  <c r="I433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2" i="20" s="1"/>
  <c r="I413" i="20"/>
  <c r="I411" i="20"/>
  <c r="I410" i="20"/>
  <c r="I409" i="20"/>
  <c r="I408" i="20"/>
  <c r="I407" i="20"/>
  <c r="I406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2" i="20"/>
  <c r="I381" i="20"/>
  <c r="I380" i="20"/>
  <c r="I378" i="20"/>
  <c r="I377" i="20"/>
  <c r="I376" i="20"/>
  <c r="I375" i="20"/>
  <c r="I374" i="20"/>
  <c r="I373" i="20"/>
  <c r="I372" i="20"/>
  <c r="I371" i="20"/>
  <c r="I369" i="20"/>
  <c r="I368" i="20"/>
  <c r="I367" i="20"/>
  <c r="I366" i="20"/>
  <c r="I365" i="20"/>
  <c r="I364" i="20"/>
  <c r="I363" i="20"/>
  <c r="I361" i="20"/>
  <c r="I362" i="20"/>
  <c r="I359" i="20"/>
  <c r="I358" i="20"/>
  <c r="I357" i="20"/>
  <c r="I356" i="20"/>
  <c r="I355" i="20"/>
  <c r="I353" i="20"/>
  <c r="I352" i="20" s="1"/>
  <c r="I354" i="20"/>
  <c r="I350" i="20"/>
  <c r="I349" i="20"/>
  <c r="I348" i="20"/>
  <c r="I347" i="20"/>
  <c r="I346" i="20"/>
  <c r="I345" i="20"/>
  <c r="I344" i="20"/>
  <c r="I342" i="20"/>
  <c r="I341" i="20"/>
  <c r="I340" i="20"/>
  <c r="I338" i="20"/>
  <c r="I337" i="20"/>
  <c r="I336" i="20"/>
  <c r="I335" i="20" s="1"/>
  <c r="I334" i="20" s="1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8" i="20"/>
  <c r="I317" i="20" s="1"/>
  <c r="I319" i="20"/>
  <c r="I316" i="20"/>
  <c r="I315" i="20"/>
  <c r="I314" i="20"/>
  <c r="I312" i="20" s="1"/>
  <c r="I313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7" i="20"/>
  <c r="I296" i="20"/>
  <c r="I295" i="20"/>
  <c r="I294" i="20"/>
  <c r="I293" i="20"/>
  <c r="I292" i="20"/>
  <c r="I290" i="20"/>
  <c r="I289" i="20"/>
  <c r="I288" i="20"/>
  <c r="I287" i="20"/>
  <c r="I286" i="20"/>
  <c r="I285" i="20"/>
  <c r="I284" i="20"/>
  <c r="I283" i="20"/>
  <c r="I282" i="20"/>
  <c r="I280" i="20" s="1"/>
  <c r="I281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5" i="20"/>
  <c r="I264" i="20"/>
  <c r="I263" i="20"/>
  <c r="I262" i="20"/>
  <c r="I261" i="20"/>
  <c r="I259" i="20"/>
  <c r="I258" i="20"/>
  <c r="I257" i="20"/>
  <c r="I256" i="20"/>
  <c r="I255" i="20"/>
  <c r="I254" i="20"/>
  <c r="I253" i="20"/>
  <c r="I252" i="20"/>
  <c r="I251" i="20"/>
  <c r="I250" i="20"/>
  <c r="I248" i="20"/>
  <c r="I247" i="20"/>
  <c r="I246" i="20"/>
  <c r="I245" i="20"/>
  <c r="I244" i="20"/>
  <c r="I243" i="20"/>
  <c r="I242" i="20"/>
  <c r="I241" i="20"/>
  <c r="I239" i="20"/>
  <c r="I238" i="20"/>
  <c r="I237" i="20"/>
  <c r="I236" i="20"/>
  <c r="I234" i="20"/>
  <c r="I233" i="20"/>
  <c r="I232" i="20"/>
  <c r="I231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8" i="20"/>
  <c r="I207" i="20"/>
  <c r="I206" i="20"/>
  <c r="I205" i="20"/>
  <c r="I204" i="20"/>
  <c r="I201" i="20"/>
  <c r="I200" i="20"/>
  <c r="I199" i="20"/>
  <c r="I198" i="20"/>
  <c r="I197" i="20"/>
  <c r="I196" i="20"/>
  <c r="I195" i="20"/>
  <c r="I194" i="20"/>
  <c r="I193" i="20"/>
  <c r="I192" i="20"/>
  <c r="I190" i="20"/>
  <c r="I189" i="20"/>
  <c r="I188" i="20"/>
  <c r="I186" i="20"/>
  <c r="I185" i="20"/>
  <c r="I184" i="20"/>
  <c r="I183" i="20"/>
  <c r="I182" i="20"/>
  <c r="I181" i="20"/>
  <c r="I180" i="20"/>
  <c r="I179" i="20"/>
  <c r="I178" i="20"/>
  <c r="I177" i="20"/>
  <c r="I176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2" i="20"/>
  <c r="I91" i="20"/>
  <c r="I90" i="20"/>
  <c r="I89" i="20"/>
  <c r="I88" i="20"/>
  <c r="I87" i="20"/>
  <c r="I86" i="20" s="1"/>
  <c r="I84" i="20"/>
  <c r="I83" i="20"/>
  <c r="I82" i="20"/>
  <c r="I81" i="20"/>
  <c r="I80" i="20"/>
  <c r="I79" i="20"/>
  <c r="I78" i="20"/>
  <c r="I77" i="20"/>
  <c r="I76" i="20"/>
  <c r="I75" i="20"/>
  <c r="I74" i="20"/>
  <c r="I72" i="20" s="1"/>
  <c r="I73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 s="1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 s="1"/>
  <c r="I14" i="20"/>
  <c r="I13" i="20"/>
  <c r="I12" i="20"/>
  <c r="I11" i="20"/>
  <c r="I10" i="20"/>
  <c r="I9" i="20"/>
  <c r="I8" i="20"/>
  <c r="D24" i="21"/>
  <c r="F17" i="18"/>
  <c r="F196" i="18"/>
  <c r="F198" i="18" s="1"/>
  <c r="F229" i="18"/>
  <c r="F208" i="18"/>
  <c r="F202" i="18"/>
  <c r="F201" i="18"/>
  <c r="J29" i="19"/>
  <c r="I29" i="19"/>
  <c r="F29" i="19"/>
  <c r="E29" i="19"/>
  <c r="D29" i="19"/>
  <c r="C29" i="19"/>
  <c r="H17" i="19"/>
  <c r="F17" i="19"/>
  <c r="E17" i="19"/>
  <c r="D17" i="19"/>
  <c r="C17" i="19"/>
  <c r="G9" i="19"/>
  <c r="F9" i="19"/>
  <c r="E9" i="19"/>
  <c r="D9" i="19"/>
  <c r="C9" i="19"/>
  <c r="F143" i="18"/>
  <c r="F140" i="18"/>
  <c r="F65" i="18"/>
  <c r="F69" i="18"/>
  <c r="F82" i="18"/>
  <c r="F81" i="18"/>
  <c r="F70" i="18"/>
  <c r="F71" i="18" s="1"/>
  <c r="F66" i="18"/>
  <c r="F67" i="18" s="1"/>
  <c r="F72" i="18"/>
  <c r="F76" i="18"/>
  <c r="F68" i="18"/>
  <c r="F74" i="18"/>
  <c r="F64" i="18"/>
  <c r="T646" i="16"/>
  <c r="V646" i="16"/>
  <c r="W646" i="16" s="1"/>
  <c r="X646" i="16"/>
  <c r="Y646" i="16" s="1"/>
  <c r="AA646" i="16"/>
  <c r="AB646" i="16" s="1"/>
  <c r="AC646" i="16"/>
  <c r="AD646" i="16" s="1"/>
  <c r="AE646" i="16"/>
  <c r="AF646" i="16" s="1"/>
  <c r="T647" i="16"/>
  <c r="U647" i="16" s="1"/>
  <c r="V647" i="16"/>
  <c r="W647" i="16" s="1"/>
  <c r="X647" i="16"/>
  <c r="Y647" i="16" s="1"/>
  <c r="AA647" i="16"/>
  <c r="AB647" i="16" s="1"/>
  <c r="AC647" i="16"/>
  <c r="AD647" i="16" s="1"/>
  <c r="AE647" i="16"/>
  <c r="AF647" i="16" s="1"/>
  <c r="T648" i="16"/>
  <c r="V648" i="16"/>
  <c r="W648" i="16"/>
  <c r="X648" i="16"/>
  <c r="Y648" i="16"/>
  <c r="AA648" i="16"/>
  <c r="AB648" i="16"/>
  <c r="AC648" i="16"/>
  <c r="AD648" i="16"/>
  <c r="AE648" i="16"/>
  <c r="AF648" i="16"/>
  <c r="AE645" i="16"/>
  <c r="AF645" i="16"/>
  <c r="AC645" i="16"/>
  <c r="AD645" i="16"/>
  <c r="AD644" i="16" s="1"/>
  <c r="AA645" i="16"/>
  <c r="AB645" i="16"/>
  <c r="AB644" i="16" s="1"/>
  <c r="X645" i="16"/>
  <c r="Y645" i="16"/>
  <c r="V645" i="16"/>
  <c r="W645" i="16"/>
  <c r="W644" i="16" s="1"/>
  <c r="T645" i="16"/>
  <c r="U645" i="16"/>
  <c r="AE641" i="16"/>
  <c r="AF641" i="16"/>
  <c r="AF640" i="16" s="1"/>
  <c r="AC641" i="16"/>
  <c r="AD641" i="16"/>
  <c r="AA641" i="16"/>
  <c r="AB641" i="16"/>
  <c r="X641" i="16"/>
  <c r="Y641" i="16"/>
  <c r="V641" i="16"/>
  <c r="W641" i="16"/>
  <c r="W640" i="16" s="1"/>
  <c r="T641" i="16"/>
  <c r="AE637" i="16"/>
  <c r="AF637" i="16" s="1"/>
  <c r="AF636" i="16" s="1"/>
  <c r="AC637" i="16"/>
  <c r="AD637" i="16" s="1"/>
  <c r="AA637" i="16"/>
  <c r="AB637" i="16" s="1"/>
  <c r="X637" i="16"/>
  <c r="Y637" i="16" s="1"/>
  <c r="V637" i="16"/>
  <c r="W637" i="16" s="1"/>
  <c r="W636" i="16" s="1"/>
  <c r="T637" i="16"/>
  <c r="AE633" i="16"/>
  <c r="AF633" i="16"/>
  <c r="AC633" i="16"/>
  <c r="AD633" i="16"/>
  <c r="AA633" i="16"/>
  <c r="AB633" i="16"/>
  <c r="X633" i="16"/>
  <c r="Y633" i="16"/>
  <c r="V633" i="16"/>
  <c r="W633" i="16"/>
  <c r="T633" i="16"/>
  <c r="T609" i="16"/>
  <c r="V609" i="16"/>
  <c r="W609" i="16"/>
  <c r="X609" i="16"/>
  <c r="Y609" i="16"/>
  <c r="AA609" i="16"/>
  <c r="AB609" i="16"/>
  <c r="AC609" i="16"/>
  <c r="AD609" i="16"/>
  <c r="AE609" i="16"/>
  <c r="AF609" i="16"/>
  <c r="T610" i="16"/>
  <c r="V610" i="16"/>
  <c r="W610" i="16" s="1"/>
  <c r="X610" i="16"/>
  <c r="Y610" i="16" s="1"/>
  <c r="AA610" i="16"/>
  <c r="AB610" i="16" s="1"/>
  <c r="AC610" i="16"/>
  <c r="AD610" i="16" s="1"/>
  <c r="AD607" i="16" s="1"/>
  <c r="AE610" i="16"/>
  <c r="AF610" i="16" s="1"/>
  <c r="T611" i="16"/>
  <c r="V611" i="16"/>
  <c r="W611" i="16"/>
  <c r="X611" i="16"/>
  <c r="Y611" i="16"/>
  <c r="AA611" i="16"/>
  <c r="AB611" i="16"/>
  <c r="AC611" i="16"/>
  <c r="AD611" i="16"/>
  <c r="AE611" i="16"/>
  <c r="AF611" i="16"/>
  <c r="T612" i="16"/>
  <c r="V612" i="16"/>
  <c r="W612" i="16" s="1"/>
  <c r="X612" i="16"/>
  <c r="Y612" i="16" s="1"/>
  <c r="AA612" i="16"/>
  <c r="AB612" i="16" s="1"/>
  <c r="AC612" i="16"/>
  <c r="AD612" i="16" s="1"/>
  <c r="AE612" i="16"/>
  <c r="AF612" i="16"/>
  <c r="T613" i="16"/>
  <c r="V613" i="16"/>
  <c r="W613" i="16"/>
  <c r="X613" i="16"/>
  <c r="Y613" i="16" s="1"/>
  <c r="AA613" i="16"/>
  <c r="AB613" i="16"/>
  <c r="AC613" i="16"/>
  <c r="AD613" i="16" s="1"/>
  <c r="AE613" i="16"/>
  <c r="AF613" i="16"/>
  <c r="T614" i="16"/>
  <c r="V614" i="16"/>
  <c r="W614" i="16" s="1"/>
  <c r="X614" i="16"/>
  <c r="Y614" i="16" s="1"/>
  <c r="AA614" i="16"/>
  <c r="AB614" i="16" s="1"/>
  <c r="AC614" i="16"/>
  <c r="AD614" i="16"/>
  <c r="AE614" i="16"/>
  <c r="AF614" i="16" s="1"/>
  <c r="T615" i="16"/>
  <c r="V615" i="16"/>
  <c r="W615" i="16"/>
  <c r="X615" i="16"/>
  <c r="Y615" i="16"/>
  <c r="AA615" i="16"/>
  <c r="AB615" i="16"/>
  <c r="AC615" i="16"/>
  <c r="AD615" i="16"/>
  <c r="AE615" i="16"/>
  <c r="AF615" i="16"/>
  <c r="T616" i="16"/>
  <c r="V616" i="16"/>
  <c r="W616" i="16" s="1"/>
  <c r="X616" i="16"/>
  <c r="Y616" i="16" s="1"/>
  <c r="AA616" i="16"/>
  <c r="AB616" i="16"/>
  <c r="AC616" i="16"/>
  <c r="AD616" i="16" s="1"/>
  <c r="AE616" i="16"/>
  <c r="AF616" i="16" s="1"/>
  <c r="T617" i="16"/>
  <c r="V617" i="16"/>
  <c r="W617" i="16"/>
  <c r="X617" i="16"/>
  <c r="Y617" i="16"/>
  <c r="AA617" i="16"/>
  <c r="AB617" i="16"/>
  <c r="AC617" i="16"/>
  <c r="AD617" i="16"/>
  <c r="AE617" i="16"/>
  <c r="AF617" i="16"/>
  <c r="T618" i="16"/>
  <c r="V618" i="16"/>
  <c r="W618" i="16" s="1"/>
  <c r="X618" i="16"/>
  <c r="Y618" i="16"/>
  <c r="AA618" i="16"/>
  <c r="AB618" i="16" s="1"/>
  <c r="AC618" i="16"/>
  <c r="AD618" i="16" s="1"/>
  <c r="AE618" i="16"/>
  <c r="AF618" i="16" s="1"/>
  <c r="T619" i="16"/>
  <c r="U619" i="16"/>
  <c r="V619" i="16"/>
  <c r="W619" i="16" s="1"/>
  <c r="X619" i="16"/>
  <c r="AA619" i="16"/>
  <c r="AB619" i="16"/>
  <c r="AC619" i="16"/>
  <c r="AD619" i="16"/>
  <c r="AE619" i="16"/>
  <c r="AF619" i="16"/>
  <c r="T620" i="16"/>
  <c r="V620" i="16"/>
  <c r="W620" i="16" s="1"/>
  <c r="X620" i="16"/>
  <c r="Y620" i="16" s="1"/>
  <c r="AA620" i="16"/>
  <c r="AB620" i="16"/>
  <c r="AC620" i="16"/>
  <c r="AD620" i="16" s="1"/>
  <c r="AE620" i="16"/>
  <c r="AF620" i="16" s="1"/>
  <c r="T621" i="16"/>
  <c r="V621" i="16"/>
  <c r="W621" i="16"/>
  <c r="X621" i="16"/>
  <c r="Y621" i="16"/>
  <c r="AA621" i="16"/>
  <c r="AB621" i="16"/>
  <c r="AC621" i="16"/>
  <c r="AD621" i="16"/>
  <c r="AE621" i="16"/>
  <c r="AF621" i="16"/>
  <c r="T622" i="16"/>
  <c r="V622" i="16"/>
  <c r="W622" i="16" s="1"/>
  <c r="X622" i="16"/>
  <c r="Y622" i="16"/>
  <c r="AA622" i="16"/>
  <c r="AB622" i="16" s="1"/>
  <c r="AC622" i="16"/>
  <c r="AD622" i="16" s="1"/>
  <c r="AE622" i="16"/>
  <c r="AF622" i="16" s="1"/>
  <c r="T623" i="16"/>
  <c r="V623" i="16"/>
  <c r="W623" i="16" s="1"/>
  <c r="X623" i="16"/>
  <c r="Y623" i="16"/>
  <c r="AA623" i="16"/>
  <c r="AB623" i="16" s="1"/>
  <c r="AC623" i="16"/>
  <c r="AD623" i="16"/>
  <c r="AE623" i="16"/>
  <c r="AF623" i="16" s="1"/>
  <c r="T624" i="16"/>
  <c r="V624" i="16"/>
  <c r="W624" i="16"/>
  <c r="X624" i="16"/>
  <c r="Y624" i="16" s="1"/>
  <c r="AA624" i="16"/>
  <c r="AB624" i="16" s="1"/>
  <c r="AC624" i="16"/>
  <c r="AD624" i="16" s="1"/>
  <c r="AE624" i="16"/>
  <c r="AF624" i="16"/>
  <c r="T625" i="16"/>
  <c r="V625" i="16"/>
  <c r="W625" i="16"/>
  <c r="X625" i="16"/>
  <c r="Y625" i="16" s="1"/>
  <c r="AA625" i="16"/>
  <c r="AB625" i="16"/>
  <c r="AC625" i="16"/>
  <c r="AD625" i="16" s="1"/>
  <c r="AE625" i="16"/>
  <c r="AF625" i="16"/>
  <c r="T626" i="16"/>
  <c r="V626" i="16"/>
  <c r="W626" i="16" s="1"/>
  <c r="X626" i="16"/>
  <c r="Y626" i="16" s="1"/>
  <c r="AA626" i="16"/>
  <c r="AB626" i="16" s="1"/>
  <c r="AC626" i="16"/>
  <c r="AD626" i="16"/>
  <c r="AE626" i="16"/>
  <c r="AF626" i="16" s="1"/>
  <c r="T627" i="16"/>
  <c r="V627" i="16"/>
  <c r="W627" i="16"/>
  <c r="X627" i="16"/>
  <c r="Y627" i="16"/>
  <c r="AA627" i="16"/>
  <c r="AB627" i="16"/>
  <c r="AC627" i="16"/>
  <c r="AD627" i="16"/>
  <c r="AE627" i="16"/>
  <c r="AF627" i="16"/>
  <c r="T628" i="16"/>
  <c r="V628" i="16"/>
  <c r="W628" i="16" s="1"/>
  <c r="X628" i="16"/>
  <c r="Y628" i="16" s="1"/>
  <c r="AA628" i="16"/>
  <c r="AB628" i="16"/>
  <c r="AC628" i="16"/>
  <c r="AD628" i="16" s="1"/>
  <c r="AE628" i="16"/>
  <c r="AF628" i="16" s="1"/>
  <c r="T629" i="16"/>
  <c r="V629" i="16"/>
  <c r="W629" i="16"/>
  <c r="X629" i="16"/>
  <c r="Y629" i="16"/>
  <c r="AA629" i="16"/>
  <c r="AB629" i="16"/>
  <c r="AC629" i="16"/>
  <c r="AD629" i="16"/>
  <c r="AE629" i="16"/>
  <c r="AF629" i="16"/>
  <c r="AE608" i="16"/>
  <c r="AF608" i="16"/>
  <c r="AC608" i="16"/>
  <c r="AD608" i="16"/>
  <c r="AA608" i="16"/>
  <c r="AB608" i="16"/>
  <c r="X608" i="16"/>
  <c r="Y608" i="16"/>
  <c r="V608" i="16"/>
  <c r="W608" i="16"/>
  <c r="T608" i="16"/>
  <c r="T585" i="16"/>
  <c r="V585" i="16"/>
  <c r="W585" i="16" s="1"/>
  <c r="X585" i="16"/>
  <c r="Y585" i="16" s="1"/>
  <c r="AA585" i="16"/>
  <c r="AB585" i="16" s="1"/>
  <c r="AC585" i="16"/>
  <c r="AD585" i="16"/>
  <c r="AE585" i="16"/>
  <c r="AF585" i="16" s="1"/>
  <c r="T586" i="16"/>
  <c r="V586" i="16"/>
  <c r="W586" i="16"/>
  <c r="X586" i="16"/>
  <c r="Y586" i="16"/>
  <c r="AA586" i="16"/>
  <c r="AB586" i="16"/>
  <c r="AC586" i="16"/>
  <c r="AD586" i="16"/>
  <c r="AE586" i="16"/>
  <c r="AF586" i="16"/>
  <c r="T587" i="16"/>
  <c r="V587" i="16"/>
  <c r="W587" i="16" s="1"/>
  <c r="X587" i="16"/>
  <c r="Y587" i="16" s="1"/>
  <c r="AA587" i="16"/>
  <c r="AB587" i="16"/>
  <c r="AC587" i="16"/>
  <c r="AD587" i="16" s="1"/>
  <c r="AE587" i="16"/>
  <c r="AF587" i="16" s="1"/>
  <c r="T588" i="16"/>
  <c r="V588" i="16"/>
  <c r="W588" i="16"/>
  <c r="X588" i="16"/>
  <c r="Y588" i="16"/>
  <c r="AA588" i="16"/>
  <c r="AB588" i="16"/>
  <c r="AC588" i="16"/>
  <c r="AD588" i="16"/>
  <c r="AE588" i="16"/>
  <c r="AF588" i="16"/>
  <c r="T589" i="16"/>
  <c r="V589" i="16"/>
  <c r="W589" i="16" s="1"/>
  <c r="X589" i="16"/>
  <c r="Y589" i="16"/>
  <c r="AA589" i="16"/>
  <c r="AB589" i="16" s="1"/>
  <c r="AC589" i="16"/>
  <c r="AD589" i="16" s="1"/>
  <c r="AE589" i="16"/>
  <c r="AF589" i="16" s="1"/>
  <c r="T590" i="16"/>
  <c r="V590" i="16"/>
  <c r="W590" i="16" s="1"/>
  <c r="X590" i="16"/>
  <c r="Y590" i="16"/>
  <c r="AA590" i="16"/>
  <c r="AB590" i="16" s="1"/>
  <c r="AC590" i="16"/>
  <c r="AD590" i="16"/>
  <c r="AE590" i="16"/>
  <c r="AF590" i="16" s="1"/>
  <c r="T591" i="16"/>
  <c r="V591" i="16"/>
  <c r="W591" i="16"/>
  <c r="X591" i="16"/>
  <c r="Y591" i="16" s="1"/>
  <c r="AA591" i="16"/>
  <c r="AB591" i="16" s="1"/>
  <c r="AC591" i="16"/>
  <c r="AD591" i="16" s="1"/>
  <c r="AE591" i="16"/>
  <c r="AF591" i="16"/>
  <c r="T592" i="16"/>
  <c r="V592" i="16"/>
  <c r="W592" i="16"/>
  <c r="X592" i="16"/>
  <c r="Y592" i="16" s="1"/>
  <c r="AA592" i="16"/>
  <c r="AB592" i="16"/>
  <c r="AC592" i="16"/>
  <c r="AD592" i="16" s="1"/>
  <c r="AE592" i="16"/>
  <c r="AF592" i="16"/>
  <c r="T593" i="16"/>
  <c r="V593" i="16"/>
  <c r="W593" i="16" s="1"/>
  <c r="X593" i="16"/>
  <c r="Y593" i="16" s="1"/>
  <c r="AA593" i="16"/>
  <c r="AB593" i="16" s="1"/>
  <c r="AC593" i="16"/>
  <c r="AD593" i="16"/>
  <c r="AE593" i="16"/>
  <c r="AF593" i="16" s="1"/>
  <c r="T594" i="16"/>
  <c r="V594" i="16"/>
  <c r="W594" i="16"/>
  <c r="X594" i="16"/>
  <c r="Y594" i="16"/>
  <c r="AA594" i="16"/>
  <c r="AB594" i="16"/>
  <c r="AC594" i="16"/>
  <c r="AD594" i="16"/>
  <c r="AE594" i="16"/>
  <c r="AF594" i="16"/>
  <c r="T595" i="16"/>
  <c r="V595" i="16"/>
  <c r="W595" i="16" s="1"/>
  <c r="X595" i="16"/>
  <c r="Y595" i="16" s="1"/>
  <c r="AA595" i="16"/>
  <c r="AB595" i="16"/>
  <c r="AC595" i="16"/>
  <c r="AD595" i="16" s="1"/>
  <c r="AE595" i="16"/>
  <c r="AF595" i="16" s="1"/>
  <c r="T596" i="16"/>
  <c r="V596" i="16"/>
  <c r="W596" i="16"/>
  <c r="X596" i="16"/>
  <c r="Y596" i="16"/>
  <c r="AA596" i="16"/>
  <c r="AB596" i="16"/>
  <c r="AC596" i="16"/>
  <c r="AD596" i="16"/>
  <c r="AE596" i="16"/>
  <c r="AF596" i="16"/>
  <c r="T597" i="16"/>
  <c r="V597" i="16"/>
  <c r="W597" i="16" s="1"/>
  <c r="X597" i="16"/>
  <c r="Y597" i="16"/>
  <c r="AA597" i="16"/>
  <c r="AB597" i="16" s="1"/>
  <c r="AC597" i="16"/>
  <c r="AD597" i="16" s="1"/>
  <c r="AE597" i="16"/>
  <c r="AF597" i="16" s="1"/>
  <c r="T598" i="16"/>
  <c r="V598" i="16"/>
  <c r="W598" i="16" s="1"/>
  <c r="X598" i="16"/>
  <c r="Y598" i="16"/>
  <c r="AA598" i="16"/>
  <c r="AB598" i="16" s="1"/>
  <c r="AC598" i="16"/>
  <c r="AD598" i="16"/>
  <c r="AE598" i="16"/>
  <c r="AF598" i="16" s="1"/>
  <c r="T599" i="16"/>
  <c r="V599" i="16"/>
  <c r="W599" i="16"/>
  <c r="X599" i="16"/>
  <c r="Y599" i="16" s="1"/>
  <c r="AA599" i="16"/>
  <c r="AB599" i="16" s="1"/>
  <c r="AC599" i="16"/>
  <c r="AD599" i="16" s="1"/>
  <c r="AE599" i="16"/>
  <c r="AF599" i="16"/>
  <c r="T600" i="16"/>
  <c r="V600" i="16"/>
  <c r="W600" i="16"/>
  <c r="X600" i="16"/>
  <c r="Y600" i="16" s="1"/>
  <c r="AA600" i="16"/>
  <c r="AB600" i="16"/>
  <c r="AA584" i="16"/>
  <c r="AB584" i="16" s="1"/>
  <c r="AB583" i="16" s="1"/>
  <c r="AA601" i="16"/>
  <c r="AB601" i="16"/>
  <c r="AA602" i="16"/>
  <c r="AB602" i="16" s="1"/>
  <c r="AA603" i="16"/>
  <c r="AB603" i="16"/>
  <c r="AA604" i="16"/>
  <c r="AB604" i="16" s="1"/>
  <c r="AA605" i="16"/>
  <c r="AB605" i="16"/>
  <c r="AC600" i="16"/>
  <c r="AD600" i="16" s="1"/>
  <c r="AE600" i="16"/>
  <c r="AF600" i="16" s="1"/>
  <c r="T601" i="16"/>
  <c r="V601" i="16"/>
  <c r="W601" i="16"/>
  <c r="X601" i="16"/>
  <c r="Y601" i="16"/>
  <c r="AC601" i="16"/>
  <c r="AD601" i="16"/>
  <c r="AE601" i="16"/>
  <c r="AF601" i="16"/>
  <c r="T602" i="16"/>
  <c r="V602" i="16"/>
  <c r="W602" i="16" s="1"/>
  <c r="X602" i="16"/>
  <c r="Y602" i="16" s="1"/>
  <c r="AC602" i="16"/>
  <c r="AD602" i="16"/>
  <c r="AE602" i="16"/>
  <c r="AF602" i="16" s="1"/>
  <c r="T603" i="16"/>
  <c r="V603" i="16"/>
  <c r="W603" i="16"/>
  <c r="X603" i="16"/>
  <c r="Y603" i="16"/>
  <c r="AC603" i="16"/>
  <c r="AD603" i="16"/>
  <c r="AE603" i="16"/>
  <c r="AF603" i="16"/>
  <c r="T604" i="16"/>
  <c r="V604" i="16"/>
  <c r="W604" i="16" s="1"/>
  <c r="X604" i="16"/>
  <c r="Y604" i="16"/>
  <c r="AC604" i="16"/>
  <c r="AD604" i="16" s="1"/>
  <c r="AE604" i="16"/>
  <c r="AF604" i="16" s="1"/>
  <c r="T605" i="16"/>
  <c r="V605" i="16"/>
  <c r="W605" i="16"/>
  <c r="X605" i="16"/>
  <c r="Y605" i="16"/>
  <c r="AC605" i="16"/>
  <c r="AD605" i="16"/>
  <c r="AE605" i="16"/>
  <c r="AF605" i="16"/>
  <c r="AE584" i="16"/>
  <c r="AF584" i="16"/>
  <c r="AC584" i="16"/>
  <c r="AD584" i="16"/>
  <c r="X584" i="16"/>
  <c r="Y584" i="16"/>
  <c r="V584" i="16"/>
  <c r="W584" i="16"/>
  <c r="T584" i="16"/>
  <c r="T556" i="16"/>
  <c r="V556" i="16"/>
  <c r="W556" i="16"/>
  <c r="X556" i="16"/>
  <c r="Y556" i="16"/>
  <c r="AA556" i="16"/>
  <c r="AB556" i="16"/>
  <c r="AC556" i="16"/>
  <c r="AD556" i="16"/>
  <c r="AE556" i="16"/>
  <c r="AF556" i="16"/>
  <c r="T557" i="16"/>
  <c r="V557" i="16"/>
  <c r="W557" i="16" s="1"/>
  <c r="X557" i="16"/>
  <c r="Y557" i="16" s="1"/>
  <c r="AA557" i="16"/>
  <c r="AB557" i="16"/>
  <c r="AC557" i="16"/>
  <c r="AD557" i="16" s="1"/>
  <c r="AE557" i="16"/>
  <c r="AF557" i="16" s="1"/>
  <c r="T558" i="16"/>
  <c r="V558" i="16"/>
  <c r="W558" i="16"/>
  <c r="X558" i="16"/>
  <c r="Y558" i="16"/>
  <c r="AA558" i="16"/>
  <c r="AB558" i="16"/>
  <c r="AC558" i="16"/>
  <c r="AD558" i="16"/>
  <c r="AD554" i="16" s="1"/>
  <c r="AE558" i="16"/>
  <c r="AF558" i="16"/>
  <c r="T559" i="16"/>
  <c r="V559" i="16"/>
  <c r="W559" i="16" s="1"/>
  <c r="X559" i="16"/>
  <c r="Y559" i="16"/>
  <c r="AA559" i="16"/>
  <c r="AB559" i="16" s="1"/>
  <c r="AC559" i="16"/>
  <c r="AD559" i="16" s="1"/>
  <c r="AE559" i="16"/>
  <c r="AF559" i="16" s="1"/>
  <c r="T560" i="16"/>
  <c r="V560" i="16"/>
  <c r="W560" i="16" s="1"/>
  <c r="X560" i="16"/>
  <c r="Y560" i="16"/>
  <c r="AA560" i="16"/>
  <c r="AB560" i="16" s="1"/>
  <c r="AC560" i="16"/>
  <c r="AD560" i="16"/>
  <c r="AE560" i="16"/>
  <c r="AF560" i="16" s="1"/>
  <c r="T561" i="16"/>
  <c r="V561" i="16"/>
  <c r="W561" i="16"/>
  <c r="X561" i="16"/>
  <c r="Y561" i="16" s="1"/>
  <c r="AA561" i="16"/>
  <c r="AB561" i="16" s="1"/>
  <c r="AC561" i="16"/>
  <c r="AD561" i="16" s="1"/>
  <c r="AE561" i="16"/>
  <c r="AF561" i="16"/>
  <c r="T562" i="16"/>
  <c r="V562" i="16"/>
  <c r="W562" i="16"/>
  <c r="X562" i="16"/>
  <c r="Y562" i="16" s="1"/>
  <c r="AA562" i="16"/>
  <c r="AB562" i="16"/>
  <c r="AC562" i="16"/>
  <c r="AD562" i="16" s="1"/>
  <c r="AE562" i="16"/>
  <c r="AF562" i="16"/>
  <c r="T563" i="16"/>
  <c r="V563" i="16"/>
  <c r="W563" i="16" s="1"/>
  <c r="X563" i="16"/>
  <c r="Y563" i="16" s="1"/>
  <c r="AA563" i="16"/>
  <c r="AB563" i="16" s="1"/>
  <c r="AC563" i="16"/>
  <c r="AD563" i="16"/>
  <c r="AE563" i="16"/>
  <c r="AF563" i="16" s="1"/>
  <c r="T564" i="16"/>
  <c r="V564" i="16"/>
  <c r="W564" i="16"/>
  <c r="X564" i="16"/>
  <c r="Y564" i="16"/>
  <c r="AA564" i="16"/>
  <c r="AB564" i="16"/>
  <c r="AC564" i="16"/>
  <c r="AD564" i="16"/>
  <c r="AE564" i="16"/>
  <c r="AF564" i="16"/>
  <c r="T565" i="16"/>
  <c r="V565" i="16"/>
  <c r="W565" i="16" s="1"/>
  <c r="X565" i="16"/>
  <c r="Y565" i="16" s="1"/>
  <c r="AA565" i="16"/>
  <c r="AB565" i="16"/>
  <c r="AC565" i="16"/>
  <c r="AD565" i="16" s="1"/>
  <c r="AE565" i="16"/>
  <c r="AF565" i="16" s="1"/>
  <c r="T566" i="16"/>
  <c r="V566" i="16"/>
  <c r="W566" i="16"/>
  <c r="X566" i="16"/>
  <c r="Y566" i="16"/>
  <c r="AA566" i="16"/>
  <c r="AB566" i="16"/>
  <c r="AC566" i="16"/>
  <c r="AD566" i="16"/>
  <c r="AE566" i="16"/>
  <c r="AF566" i="16"/>
  <c r="T567" i="16"/>
  <c r="V567" i="16"/>
  <c r="W567" i="16" s="1"/>
  <c r="X567" i="16"/>
  <c r="Y567" i="16"/>
  <c r="AA567" i="16"/>
  <c r="AB567" i="16" s="1"/>
  <c r="AC567" i="16"/>
  <c r="AD567" i="16" s="1"/>
  <c r="AE567" i="16"/>
  <c r="AF567" i="16" s="1"/>
  <c r="T568" i="16"/>
  <c r="V568" i="16"/>
  <c r="W568" i="16" s="1"/>
  <c r="X568" i="16"/>
  <c r="Y568" i="16"/>
  <c r="AA568" i="16"/>
  <c r="AB568" i="16" s="1"/>
  <c r="AC568" i="16"/>
  <c r="AD568" i="16"/>
  <c r="AE568" i="16"/>
  <c r="AF568" i="16" s="1"/>
  <c r="T569" i="16"/>
  <c r="V569" i="16"/>
  <c r="W569" i="16"/>
  <c r="X569" i="16"/>
  <c r="Y569" i="16" s="1"/>
  <c r="AA569" i="16"/>
  <c r="AB569" i="16" s="1"/>
  <c r="AC569" i="16"/>
  <c r="AD569" i="16" s="1"/>
  <c r="AE569" i="16"/>
  <c r="AF569" i="16"/>
  <c r="T570" i="16"/>
  <c r="V570" i="16"/>
  <c r="W570" i="16"/>
  <c r="X570" i="16"/>
  <c r="Y570" i="16" s="1"/>
  <c r="AA570" i="16"/>
  <c r="AB570" i="16"/>
  <c r="AC570" i="16"/>
  <c r="AD570" i="16" s="1"/>
  <c r="AE570" i="16"/>
  <c r="AF570" i="16"/>
  <c r="T571" i="16"/>
  <c r="V571" i="16"/>
  <c r="W571" i="16" s="1"/>
  <c r="X571" i="16"/>
  <c r="Y571" i="16" s="1"/>
  <c r="AA571" i="16"/>
  <c r="AB571" i="16" s="1"/>
  <c r="AC571" i="16"/>
  <c r="AD571" i="16"/>
  <c r="AE571" i="16"/>
  <c r="AF571" i="16" s="1"/>
  <c r="T572" i="16"/>
  <c r="V572" i="16"/>
  <c r="W572" i="16"/>
  <c r="X572" i="16"/>
  <c r="Y572" i="16"/>
  <c r="AA572" i="16"/>
  <c r="AB572" i="16"/>
  <c r="AC572" i="16"/>
  <c r="AD572" i="16"/>
  <c r="AE572" i="16"/>
  <c r="AF572" i="16"/>
  <c r="T573" i="16"/>
  <c r="V573" i="16"/>
  <c r="W573" i="16" s="1"/>
  <c r="X573" i="16"/>
  <c r="Y573" i="16" s="1"/>
  <c r="AA573" i="16"/>
  <c r="AB573" i="16"/>
  <c r="AC573" i="16"/>
  <c r="AD573" i="16" s="1"/>
  <c r="AE573" i="16"/>
  <c r="AF573" i="16" s="1"/>
  <c r="T574" i="16"/>
  <c r="V574" i="16"/>
  <c r="W574" i="16"/>
  <c r="X574" i="16"/>
  <c r="Y574" i="16"/>
  <c r="AA574" i="16"/>
  <c r="AB574" i="16"/>
  <c r="AC574" i="16"/>
  <c r="AD574" i="16"/>
  <c r="AE574" i="16"/>
  <c r="AF574" i="16"/>
  <c r="T575" i="16"/>
  <c r="V575" i="16"/>
  <c r="W575" i="16" s="1"/>
  <c r="X575" i="16"/>
  <c r="Y575" i="16"/>
  <c r="AA575" i="16"/>
  <c r="AB575" i="16" s="1"/>
  <c r="AC575" i="16"/>
  <c r="AD575" i="16" s="1"/>
  <c r="AC555" i="16"/>
  <c r="AD555" i="16" s="1"/>
  <c r="AC576" i="16"/>
  <c r="AD576" i="16"/>
  <c r="AC577" i="16"/>
  <c r="AD577" i="16" s="1"/>
  <c r="AC578" i="16"/>
  <c r="AD578" i="16" s="1"/>
  <c r="AC579" i="16"/>
  <c r="AD579" i="16" s="1"/>
  <c r="AC580" i="16"/>
  <c r="AD580" i="16"/>
  <c r="AC581" i="16"/>
  <c r="AD581" i="16" s="1"/>
  <c r="AE575" i="16"/>
  <c r="AF575" i="16"/>
  <c r="T576" i="16"/>
  <c r="V576" i="16"/>
  <c r="W576" i="16" s="1"/>
  <c r="X576" i="16"/>
  <c r="Y576" i="16" s="1"/>
  <c r="AA576" i="16"/>
  <c r="AB576" i="16"/>
  <c r="AE576" i="16"/>
  <c r="AF576" i="16" s="1"/>
  <c r="T577" i="16"/>
  <c r="V577" i="16"/>
  <c r="W577" i="16"/>
  <c r="X577" i="16"/>
  <c r="Y577" i="16"/>
  <c r="AA577" i="16"/>
  <c r="AB577" i="16"/>
  <c r="AE577" i="16"/>
  <c r="AF577" i="16"/>
  <c r="T578" i="16"/>
  <c r="V578" i="16"/>
  <c r="W578" i="16" s="1"/>
  <c r="X578" i="16"/>
  <c r="Y578" i="16"/>
  <c r="AA578" i="16"/>
  <c r="AB578" i="16" s="1"/>
  <c r="AE578" i="16"/>
  <c r="AF578" i="16" s="1"/>
  <c r="T579" i="16"/>
  <c r="V579" i="16"/>
  <c r="W579" i="16"/>
  <c r="X579" i="16"/>
  <c r="Y579" i="16"/>
  <c r="AA579" i="16"/>
  <c r="AB579" i="16"/>
  <c r="AE579" i="16"/>
  <c r="AF579" i="16"/>
  <c r="T580" i="16"/>
  <c r="V580" i="16"/>
  <c r="W580" i="16" s="1"/>
  <c r="X580" i="16"/>
  <c r="Y580" i="16" s="1"/>
  <c r="AA580" i="16"/>
  <c r="AB580" i="16"/>
  <c r="AE580" i="16"/>
  <c r="AF580" i="16" s="1"/>
  <c r="T581" i="16"/>
  <c r="V581" i="16"/>
  <c r="W581" i="16"/>
  <c r="X581" i="16"/>
  <c r="Y581" i="16"/>
  <c r="AA581" i="16"/>
  <c r="AB581" i="16"/>
  <c r="AE581" i="16"/>
  <c r="AF581" i="16"/>
  <c r="AE555" i="16"/>
  <c r="AF555" i="16"/>
  <c r="AA555" i="16"/>
  <c r="AB555" i="16"/>
  <c r="X555" i="16"/>
  <c r="V555" i="16"/>
  <c r="W555" i="16" s="1"/>
  <c r="T555" i="16"/>
  <c r="U555" i="16"/>
  <c r="T528" i="16"/>
  <c r="V528" i="16"/>
  <c r="W528" i="16"/>
  <c r="X528" i="16"/>
  <c r="Y528" i="16" s="1"/>
  <c r="AA528" i="16"/>
  <c r="AB528" i="16"/>
  <c r="AC528" i="16"/>
  <c r="AD528" i="16" s="1"/>
  <c r="AE528" i="16"/>
  <c r="AF528" i="16"/>
  <c r="T529" i="16"/>
  <c r="V529" i="16"/>
  <c r="W529" i="16" s="1"/>
  <c r="X529" i="16"/>
  <c r="Y529" i="16" s="1"/>
  <c r="AA529" i="16"/>
  <c r="AB529" i="16" s="1"/>
  <c r="AC529" i="16"/>
  <c r="AD529" i="16"/>
  <c r="AE529" i="16"/>
  <c r="AF529" i="16" s="1"/>
  <c r="T530" i="16"/>
  <c r="V530" i="16"/>
  <c r="W530" i="16"/>
  <c r="W526" i="16" s="1"/>
  <c r="X530" i="16"/>
  <c r="Y530" i="16"/>
  <c r="AA530" i="16"/>
  <c r="AB530" i="16"/>
  <c r="AC530" i="16"/>
  <c r="AD530" i="16"/>
  <c r="AE530" i="16"/>
  <c r="AF530" i="16"/>
  <c r="T531" i="16"/>
  <c r="V531" i="16"/>
  <c r="W531" i="16" s="1"/>
  <c r="X531" i="16"/>
  <c r="Y531" i="16" s="1"/>
  <c r="AA531" i="16"/>
  <c r="AB531" i="16"/>
  <c r="AC531" i="16"/>
  <c r="AD531" i="16" s="1"/>
  <c r="AE531" i="16"/>
  <c r="AF531" i="16" s="1"/>
  <c r="T532" i="16"/>
  <c r="U532" i="16" s="1"/>
  <c r="V532" i="16"/>
  <c r="W532" i="16"/>
  <c r="X532" i="16"/>
  <c r="Y532" i="16"/>
  <c r="AA532" i="16"/>
  <c r="AB532" i="16"/>
  <c r="AC532" i="16"/>
  <c r="AD532" i="16"/>
  <c r="AE532" i="16"/>
  <c r="AF532" i="16"/>
  <c r="T533" i="16"/>
  <c r="V533" i="16"/>
  <c r="W533" i="16" s="1"/>
  <c r="X533" i="16"/>
  <c r="Y533" i="16"/>
  <c r="AA533" i="16"/>
  <c r="AB533" i="16" s="1"/>
  <c r="AC533" i="16"/>
  <c r="AD533" i="16" s="1"/>
  <c r="AE533" i="16"/>
  <c r="AF533" i="16" s="1"/>
  <c r="T534" i="16"/>
  <c r="V534" i="16"/>
  <c r="W534" i="16" s="1"/>
  <c r="V527" i="16"/>
  <c r="W527" i="16"/>
  <c r="V535" i="16"/>
  <c r="W535" i="16" s="1"/>
  <c r="V536" i="16"/>
  <c r="W536" i="16"/>
  <c r="V537" i="16"/>
  <c r="W537" i="16" s="1"/>
  <c r="V538" i="16"/>
  <c r="W538" i="16"/>
  <c r="V539" i="16"/>
  <c r="W539" i="16" s="1"/>
  <c r="V540" i="16"/>
  <c r="W540" i="16"/>
  <c r="V541" i="16"/>
  <c r="W541" i="16" s="1"/>
  <c r="V542" i="16"/>
  <c r="W542" i="16"/>
  <c r="V543" i="16"/>
  <c r="W543" i="16" s="1"/>
  <c r="V544" i="16"/>
  <c r="W544" i="16"/>
  <c r="V545" i="16"/>
  <c r="W545" i="16" s="1"/>
  <c r="V546" i="16"/>
  <c r="W546" i="16"/>
  <c r="V547" i="16"/>
  <c r="W547" i="16" s="1"/>
  <c r="V548" i="16"/>
  <c r="W548" i="16"/>
  <c r="V549" i="16"/>
  <c r="W549" i="16" s="1"/>
  <c r="V550" i="16"/>
  <c r="W550" i="16"/>
  <c r="V551" i="16"/>
  <c r="W551" i="16" s="1"/>
  <c r="V552" i="16"/>
  <c r="W552" i="16"/>
  <c r="X534" i="16"/>
  <c r="Y534" i="16" s="1"/>
  <c r="AA534" i="16"/>
  <c r="AB534" i="16" s="1"/>
  <c r="AA527" i="16"/>
  <c r="AB527" i="16" s="1"/>
  <c r="AA535" i="16"/>
  <c r="AB535" i="16"/>
  <c r="AA536" i="16"/>
  <c r="AB536" i="16" s="1"/>
  <c r="AA537" i="16"/>
  <c r="AB537" i="16" s="1"/>
  <c r="AA538" i="16"/>
  <c r="AB538" i="16" s="1"/>
  <c r="AA539" i="16"/>
  <c r="AB539" i="16"/>
  <c r="AA540" i="16"/>
  <c r="AB540" i="16" s="1"/>
  <c r="AA541" i="16"/>
  <c r="AB541" i="16" s="1"/>
  <c r="AA542" i="16"/>
  <c r="AB542" i="16" s="1"/>
  <c r="AA543" i="16"/>
  <c r="AB543" i="16"/>
  <c r="AA544" i="16"/>
  <c r="AB544" i="16" s="1"/>
  <c r="AA545" i="16"/>
  <c r="AB545" i="16" s="1"/>
  <c r="AA546" i="16"/>
  <c r="AB546" i="16" s="1"/>
  <c r="AA547" i="16"/>
  <c r="AB547" i="16"/>
  <c r="AA548" i="16"/>
  <c r="AB548" i="16" s="1"/>
  <c r="AA549" i="16"/>
  <c r="AB549" i="16" s="1"/>
  <c r="AA550" i="16"/>
  <c r="AB550" i="16" s="1"/>
  <c r="AA551" i="16"/>
  <c r="AB551" i="16"/>
  <c r="AA552" i="16"/>
  <c r="AB552" i="16" s="1"/>
  <c r="AB526" i="16"/>
  <c r="AC534" i="16"/>
  <c r="AD534" i="16"/>
  <c r="AE534" i="16"/>
  <c r="AF534" i="16"/>
  <c r="T535" i="16"/>
  <c r="X535" i="16"/>
  <c r="Y535" i="16" s="1"/>
  <c r="AC535" i="16"/>
  <c r="AD535" i="16"/>
  <c r="AE535" i="16"/>
  <c r="AF535" i="16" s="1"/>
  <c r="T536" i="16"/>
  <c r="X536" i="16"/>
  <c r="Y536" i="16"/>
  <c r="AC536" i="16"/>
  <c r="AD536" i="16"/>
  <c r="AE536" i="16"/>
  <c r="AF536" i="16"/>
  <c r="T537" i="16"/>
  <c r="X537" i="16"/>
  <c r="Y537" i="16" s="1"/>
  <c r="AC537" i="16"/>
  <c r="AD537" i="16" s="1"/>
  <c r="AE537" i="16"/>
  <c r="AF537" i="16"/>
  <c r="T538" i="16"/>
  <c r="X538" i="16"/>
  <c r="Y538" i="16"/>
  <c r="AC538" i="16"/>
  <c r="AD538" i="16" s="1"/>
  <c r="AE538" i="16"/>
  <c r="AF538" i="16"/>
  <c r="T539" i="16"/>
  <c r="X539" i="16"/>
  <c r="Y539" i="16" s="1"/>
  <c r="AC539" i="16"/>
  <c r="AD539" i="16" s="1"/>
  <c r="AE539" i="16"/>
  <c r="AF539" i="16" s="1"/>
  <c r="T540" i="16"/>
  <c r="X540" i="16"/>
  <c r="Y540" i="16" s="1"/>
  <c r="AC540" i="16"/>
  <c r="AD540" i="16"/>
  <c r="AE540" i="16"/>
  <c r="AF540" i="16" s="1"/>
  <c r="T541" i="16"/>
  <c r="X541" i="16"/>
  <c r="Y541" i="16"/>
  <c r="AC541" i="16"/>
  <c r="AD541" i="16" s="1"/>
  <c r="AE541" i="16"/>
  <c r="AF541" i="16" s="1"/>
  <c r="T542" i="16"/>
  <c r="U542" i="16" s="1"/>
  <c r="X542" i="16"/>
  <c r="Y542" i="16"/>
  <c r="AC542" i="16"/>
  <c r="AD542" i="16"/>
  <c r="AE542" i="16"/>
  <c r="AF542" i="16"/>
  <c r="T543" i="16"/>
  <c r="X543" i="16"/>
  <c r="Y543" i="16" s="1"/>
  <c r="AC543" i="16"/>
  <c r="AD543" i="16"/>
  <c r="AE543" i="16"/>
  <c r="AF543" i="16" s="1"/>
  <c r="T544" i="16"/>
  <c r="X544" i="16"/>
  <c r="Y544" i="16"/>
  <c r="AC544" i="16"/>
  <c r="AD544" i="16"/>
  <c r="AE544" i="16"/>
  <c r="AF544" i="16"/>
  <c r="T545" i="16"/>
  <c r="X545" i="16"/>
  <c r="Y545" i="16" s="1"/>
  <c r="AC545" i="16"/>
  <c r="AD545" i="16" s="1"/>
  <c r="AE545" i="16"/>
  <c r="AF545" i="16"/>
  <c r="T546" i="16"/>
  <c r="X546" i="16"/>
  <c r="Y546" i="16"/>
  <c r="AC546" i="16"/>
  <c r="AD546" i="16" s="1"/>
  <c r="AE546" i="16"/>
  <c r="AF546" i="16"/>
  <c r="T547" i="16"/>
  <c r="X547" i="16"/>
  <c r="Y547" i="16" s="1"/>
  <c r="AC547" i="16"/>
  <c r="AD547" i="16" s="1"/>
  <c r="AE547" i="16"/>
  <c r="AF547" i="16" s="1"/>
  <c r="T548" i="16"/>
  <c r="X548" i="16"/>
  <c r="Y548" i="16" s="1"/>
  <c r="AC548" i="16"/>
  <c r="AD548" i="16"/>
  <c r="AE548" i="16"/>
  <c r="AF548" i="16" s="1"/>
  <c r="T549" i="16"/>
  <c r="X549" i="16"/>
  <c r="Y549" i="16"/>
  <c r="AC549" i="16"/>
  <c r="AD549" i="16" s="1"/>
  <c r="AE549" i="16"/>
  <c r="AF549" i="16" s="1"/>
  <c r="T550" i="16"/>
  <c r="X550" i="16"/>
  <c r="Y550" i="16"/>
  <c r="AC550" i="16"/>
  <c r="AD550" i="16"/>
  <c r="AE550" i="16"/>
  <c r="AF550" i="16"/>
  <c r="T551" i="16"/>
  <c r="X551" i="16"/>
  <c r="Y551" i="16" s="1"/>
  <c r="AC551" i="16"/>
  <c r="AD551" i="16"/>
  <c r="AE551" i="16"/>
  <c r="AF551" i="16" s="1"/>
  <c r="T552" i="16"/>
  <c r="X552" i="16"/>
  <c r="Y552" i="16"/>
  <c r="AC552" i="16"/>
  <c r="AD552" i="16"/>
  <c r="AE552" i="16"/>
  <c r="AF552" i="16"/>
  <c r="AE527" i="16"/>
  <c r="AF527" i="16"/>
  <c r="AC527" i="16"/>
  <c r="AD527" i="16"/>
  <c r="X527" i="16"/>
  <c r="Y527" i="16"/>
  <c r="T527" i="16"/>
  <c r="T505" i="16"/>
  <c r="V505" i="16"/>
  <c r="W505" i="16"/>
  <c r="X505" i="16"/>
  <c r="Y505" i="16"/>
  <c r="AA505" i="16"/>
  <c r="AB505" i="16"/>
  <c r="AC505" i="16"/>
  <c r="AD505" i="16"/>
  <c r="AD503" i="16" s="1"/>
  <c r="AE505" i="16"/>
  <c r="AF505" i="16"/>
  <c r="T506" i="16"/>
  <c r="V506" i="16"/>
  <c r="W506" i="16" s="1"/>
  <c r="X506" i="16"/>
  <c r="Y506" i="16"/>
  <c r="AA506" i="16"/>
  <c r="AB506" i="16" s="1"/>
  <c r="AC506" i="16"/>
  <c r="AD506" i="16" s="1"/>
  <c r="AE506" i="16"/>
  <c r="AF506" i="16" s="1"/>
  <c r="T507" i="16"/>
  <c r="V507" i="16"/>
  <c r="W507" i="16" s="1"/>
  <c r="X507" i="16"/>
  <c r="Y507" i="16"/>
  <c r="AA507" i="16"/>
  <c r="AB507" i="16" s="1"/>
  <c r="AC507" i="16"/>
  <c r="AD507" i="16"/>
  <c r="AE507" i="16"/>
  <c r="AF507" i="16" s="1"/>
  <c r="T508" i="16"/>
  <c r="V508" i="16"/>
  <c r="W508" i="16"/>
  <c r="X508" i="16"/>
  <c r="Y508" i="16" s="1"/>
  <c r="AA508" i="16"/>
  <c r="AB508" i="16" s="1"/>
  <c r="AC508" i="16"/>
  <c r="AD508" i="16" s="1"/>
  <c r="AE508" i="16"/>
  <c r="AF508" i="16"/>
  <c r="T509" i="16"/>
  <c r="V509" i="16"/>
  <c r="W509" i="16"/>
  <c r="X509" i="16"/>
  <c r="Y509" i="16" s="1"/>
  <c r="AA509" i="16"/>
  <c r="AB509" i="16"/>
  <c r="AC509" i="16"/>
  <c r="AD509" i="16" s="1"/>
  <c r="AE509" i="16"/>
  <c r="AF509" i="16"/>
  <c r="T510" i="16"/>
  <c r="V510" i="16"/>
  <c r="W510" i="16" s="1"/>
  <c r="X510" i="16"/>
  <c r="Y510" i="16" s="1"/>
  <c r="AA510" i="16"/>
  <c r="AB510" i="16" s="1"/>
  <c r="AC510" i="16"/>
  <c r="AD510" i="16"/>
  <c r="AE510" i="16"/>
  <c r="AF510" i="16" s="1"/>
  <c r="T511" i="16"/>
  <c r="V511" i="16"/>
  <c r="W511" i="16"/>
  <c r="X511" i="16"/>
  <c r="Y511" i="16"/>
  <c r="AA511" i="16"/>
  <c r="AB511" i="16"/>
  <c r="AC511" i="16"/>
  <c r="AD511" i="16"/>
  <c r="AE511" i="16"/>
  <c r="AF511" i="16"/>
  <c r="T512" i="16"/>
  <c r="V512" i="16"/>
  <c r="W512" i="16" s="1"/>
  <c r="X512" i="16"/>
  <c r="Y512" i="16" s="1"/>
  <c r="AA512" i="16"/>
  <c r="AB512" i="16"/>
  <c r="AC512" i="16"/>
  <c r="AD512" i="16" s="1"/>
  <c r="AE512" i="16"/>
  <c r="AF512" i="16" s="1"/>
  <c r="T513" i="16"/>
  <c r="V513" i="16"/>
  <c r="W513" i="16"/>
  <c r="X513" i="16"/>
  <c r="Y513" i="16"/>
  <c r="AA513" i="16"/>
  <c r="AB513" i="16"/>
  <c r="AC513" i="16"/>
  <c r="AD513" i="16"/>
  <c r="AE513" i="16"/>
  <c r="AF513" i="16"/>
  <c r="T514" i="16"/>
  <c r="V514" i="16"/>
  <c r="W514" i="16" s="1"/>
  <c r="X514" i="16"/>
  <c r="Y514" i="16"/>
  <c r="AA514" i="16"/>
  <c r="AB514" i="16" s="1"/>
  <c r="AC514" i="16"/>
  <c r="AD514" i="16" s="1"/>
  <c r="AE514" i="16"/>
  <c r="AF514" i="16" s="1"/>
  <c r="T515" i="16"/>
  <c r="V515" i="16"/>
  <c r="W515" i="16" s="1"/>
  <c r="X515" i="16"/>
  <c r="Y515" i="16"/>
  <c r="AA515" i="16"/>
  <c r="AB515" i="16" s="1"/>
  <c r="AC515" i="16"/>
  <c r="AD515" i="16"/>
  <c r="AE515" i="16"/>
  <c r="AF515" i="16" s="1"/>
  <c r="T516" i="16"/>
  <c r="V516" i="16"/>
  <c r="W516" i="16"/>
  <c r="X516" i="16"/>
  <c r="Y516" i="16" s="1"/>
  <c r="AA516" i="16"/>
  <c r="AB516" i="16" s="1"/>
  <c r="AC516" i="16"/>
  <c r="AD516" i="16" s="1"/>
  <c r="AE516" i="16"/>
  <c r="AF516" i="16"/>
  <c r="T517" i="16"/>
  <c r="V517" i="16"/>
  <c r="W517" i="16"/>
  <c r="X517" i="16"/>
  <c r="Y517" i="16" s="1"/>
  <c r="AA517" i="16"/>
  <c r="AB517" i="16"/>
  <c r="AC517" i="16"/>
  <c r="AD517" i="16" s="1"/>
  <c r="AE517" i="16"/>
  <c r="AF517" i="16"/>
  <c r="T518" i="16"/>
  <c r="V518" i="16"/>
  <c r="W518" i="16" s="1"/>
  <c r="X518" i="16"/>
  <c r="Y518" i="16" s="1"/>
  <c r="AA518" i="16"/>
  <c r="AB518" i="16" s="1"/>
  <c r="AC518" i="16"/>
  <c r="AD518" i="16"/>
  <c r="AE518" i="16"/>
  <c r="AF518" i="16" s="1"/>
  <c r="T519" i="16"/>
  <c r="V519" i="16"/>
  <c r="W519" i="16"/>
  <c r="X519" i="16"/>
  <c r="Y519" i="16"/>
  <c r="AA519" i="16"/>
  <c r="AB519" i="16"/>
  <c r="AC519" i="16"/>
  <c r="AD519" i="16"/>
  <c r="AE519" i="16"/>
  <c r="AF519" i="16"/>
  <c r="T520" i="16"/>
  <c r="V520" i="16"/>
  <c r="W520" i="16" s="1"/>
  <c r="X520" i="16"/>
  <c r="Y520" i="16" s="1"/>
  <c r="AA520" i="16"/>
  <c r="AB520" i="16"/>
  <c r="AC520" i="16"/>
  <c r="AD520" i="16" s="1"/>
  <c r="AE520" i="16"/>
  <c r="AF520" i="16" s="1"/>
  <c r="T521" i="16"/>
  <c r="V521" i="16"/>
  <c r="W521" i="16"/>
  <c r="X521" i="16"/>
  <c r="Y521" i="16"/>
  <c r="AA521" i="16"/>
  <c r="AB521" i="16"/>
  <c r="AC521" i="16"/>
  <c r="AD521" i="16"/>
  <c r="AE521" i="16"/>
  <c r="AF521" i="16"/>
  <c r="T522" i="16"/>
  <c r="U522" i="16"/>
  <c r="V522" i="16"/>
  <c r="W522" i="16"/>
  <c r="X522" i="16"/>
  <c r="AA522" i="16"/>
  <c r="AB522" i="16" s="1"/>
  <c r="AC522" i="16"/>
  <c r="AD522" i="16"/>
  <c r="AE522" i="16"/>
  <c r="AF522" i="16" s="1"/>
  <c r="T523" i="16"/>
  <c r="U523" i="16" s="1"/>
  <c r="V523" i="16"/>
  <c r="W523" i="16" s="1"/>
  <c r="X523" i="16"/>
  <c r="Y523" i="16"/>
  <c r="AA523" i="16"/>
  <c r="AB523" i="16" s="1"/>
  <c r="AC523" i="16"/>
  <c r="AD523" i="16" s="1"/>
  <c r="AE523" i="16"/>
  <c r="AF523" i="16" s="1"/>
  <c r="AE504" i="16"/>
  <c r="AF504" i="16"/>
  <c r="AC504" i="16"/>
  <c r="AD504" i="16" s="1"/>
  <c r="AA504" i="16"/>
  <c r="AB504" i="16"/>
  <c r="X504" i="16"/>
  <c r="V504" i="16"/>
  <c r="W504" i="16" s="1"/>
  <c r="T504" i="16"/>
  <c r="U504" i="16" s="1"/>
  <c r="T481" i="16"/>
  <c r="V481" i="16"/>
  <c r="W481" i="16" s="1"/>
  <c r="X481" i="16"/>
  <c r="Y481" i="16"/>
  <c r="AA481" i="16"/>
  <c r="AB481" i="16" s="1"/>
  <c r="AB479" i="16" s="1"/>
  <c r="AA480" i="16"/>
  <c r="AB480" i="16"/>
  <c r="AA482" i="16"/>
  <c r="AB482" i="16" s="1"/>
  <c r="AA483" i="16"/>
  <c r="AB483" i="16"/>
  <c r="AA484" i="16"/>
  <c r="AB484" i="16" s="1"/>
  <c r="AA485" i="16"/>
  <c r="AB485" i="16"/>
  <c r="AA486" i="16"/>
  <c r="AB486" i="16" s="1"/>
  <c r="AA487" i="16"/>
  <c r="AB487" i="16"/>
  <c r="AA488" i="16"/>
  <c r="AB488" i="16" s="1"/>
  <c r="AA489" i="16"/>
  <c r="AB489" i="16"/>
  <c r="AA490" i="16"/>
  <c r="AB490" i="16" s="1"/>
  <c r="AA491" i="16"/>
  <c r="AB491" i="16"/>
  <c r="AA492" i="16"/>
  <c r="AB492" i="16" s="1"/>
  <c r="AA493" i="16"/>
  <c r="AB493" i="16"/>
  <c r="AA494" i="16"/>
  <c r="AB494" i="16" s="1"/>
  <c r="AA495" i="16"/>
  <c r="AB495" i="16"/>
  <c r="AA496" i="16"/>
  <c r="AB496" i="16" s="1"/>
  <c r="AA497" i="16"/>
  <c r="AB497" i="16"/>
  <c r="AA498" i="16"/>
  <c r="AB498" i="16" s="1"/>
  <c r="AA499" i="16"/>
  <c r="AB499" i="16"/>
  <c r="AA500" i="16"/>
  <c r="AB500" i="16" s="1"/>
  <c r="AA501" i="16"/>
  <c r="AB501" i="16"/>
  <c r="AC481" i="16"/>
  <c r="AD481" i="16" s="1"/>
  <c r="AE481" i="16"/>
  <c r="AF481" i="16" s="1"/>
  <c r="T482" i="16"/>
  <c r="V482" i="16"/>
  <c r="W482" i="16"/>
  <c r="X482" i="16"/>
  <c r="Y482" i="16"/>
  <c r="AC482" i="16"/>
  <c r="AD482" i="16"/>
  <c r="AD479" i="16" s="1"/>
  <c r="AE482" i="16"/>
  <c r="AF482" i="16"/>
  <c r="T483" i="16"/>
  <c r="V483" i="16"/>
  <c r="W483" i="16" s="1"/>
  <c r="X483" i="16"/>
  <c r="Y483" i="16" s="1"/>
  <c r="AC483" i="16"/>
  <c r="AD483" i="16"/>
  <c r="AE483" i="16"/>
  <c r="AF483" i="16" s="1"/>
  <c r="T484" i="16"/>
  <c r="V484" i="16"/>
  <c r="W484" i="16"/>
  <c r="X484" i="16"/>
  <c r="Y484" i="16"/>
  <c r="AC484" i="16"/>
  <c r="AD484" i="16"/>
  <c r="AE484" i="16"/>
  <c r="AF484" i="16"/>
  <c r="T485" i="16"/>
  <c r="V485" i="16"/>
  <c r="W485" i="16" s="1"/>
  <c r="X485" i="16"/>
  <c r="Y485" i="16"/>
  <c r="AC485" i="16"/>
  <c r="AD485" i="16" s="1"/>
  <c r="AE485" i="16"/>
  <c r="AF485" i="16" s="1"/>
  <c r="T486" i="16"/>
  <c r="V486" i="16"/>
  <c r="W486" i="16"/>
  <c r="X486" i="16"/>
  <c r="Y486" i="16"/>
  <c r="AC486" i="16"/>
  <c r="AD486" i="16"/>
  <c r="AE486" i="16"/>
  <c r="AF486" i="16"/>
  <c r="T487" i="16"/>
  <c r="V487" i="16"/>
  <c r="W487" i="16" s="1"/>
  <c r="X487" i="16"/>
  <c r="Y487" i="16" s="1"/>
  <c r="AC487" i="16"/>
  <c r="AD487" i="16"/>
  <c r="AE487" i="16"/>
  <c r="AF487" i="16" s="1"/>
  <c r="T488" i="16"/>
  <c r="V488" i="16"/>
  <c r="W488" i="16"/>
  <c r="X488" i="16"/>
  <c r="Y488" i="16"/>
  <c r="AC488" i="16"/>
  <c r="AD488" i="16"/>
  <c r="AE488" i="16"/>
  <c r="AF488" i="16"/>
  <c r="T489" i="16"/>
  <c r="V489" i="16"/>
  <c r="W489" i="16" s="1"/>
  <c r="X489" i="16"/>
  <c r="Y489" i="16"/>
  <c r="AC489" i="16"/>
  <c r="AD489" i="16" s="1"/>
  <c r="AE489" i="16"/>
  <c r="AF489" i="16" s="1"/>
  <c r="T490" i="16"/>
  <c r="V490" i="16"/>
  <c r="W490" i="16"/>
  <c r="X490" i="16"/>
  <c r="Y490" i="16"/>
  <c r="AC490" i="16"/>
  <c r="AD490" i="16"/>
  <c r="AE490" i="16"/>
  <c r="AF490" i="16"/>
  <c r="T491" i="16"/>
  <c r="U491" i="16"/>
  <c r="V491" i="16"/>
  <c r="W491" i="16"/>
  <c r="X491" i="16"/>
  <c r="AC491" i="16"/>
  <c r="AD491" i="16" s="1"/>
  <c r="AE491" i="16"/>
  <c r="AF491" i="16" s="1"/>
  <c r="T492" i="16"/>
  <c r="V492" i="16"/>
  <c r="W492" i="16"/>
  <c r="X492" i="16"/>
  <c r="Y492" i="16"/>
  <c r="AC492" i="16"/>
  <c r="AD492" i="16"/>
  <c r="AE492" i="16"/>
  <c r="AF492" i="16"/>
  <c r="T493" i="16"/>
  <c r="V493" i="16"/>
  <c r="W493" i="16" s="1"/>
  <c r="X493" i="16"/>
  <c r="Y493" i="16" s="1"/>
  <c r="AC493" i="16"/>
  <c r="AD493" i="16" s="1"/>
  <c r="AE493" i="16"/>
  <c r="AF493" i="16" s="1"/>
  <c r="T494" i="16"/>
  <c r="V494" i="16"/>
  <c r="W494" i="16"/>
  <c r="X494" i="16"/>
  <c r="Y494" i="16"/>
  <c r="AC494" i="16"/>
  <c r="AD494" i="16"/>
  <c r="AE494" i="16"/>
  <c r="AF494" i="16"/>
  <c r="T495" i="16"/>
  <c r="V495" i="16"/>
  <c r="W495" i="16" s="1"/>
  <c r="X495" i="16"/>
  <c r="Y495" i="16" s="1"/>
  <c r="AC495" i="16"/>
  <c r="AD495" i="16" s="1"/>
  <c r="AE495" i="16"/>
  <c r="AF495" i="16" s="1"/>
  <c r="T496" i="16"/>
  <c r="V496" i="16"/>
  <c r="W496" i="16"/>
  <c r="X496" i="16"/>
  <c r="Y496" i="16"/>
  <c r="AC496" i="16"/>
  <c r="AD496" i="16"/>
  <c r="AE496" i="16"/>
  <c r="AF496" i="16"/>
  <c r="T497" i="16"/>
  <c r="V497" i="16"/>
  <c r="W497" i="16" s="1"/>
  <c r="X497" i="16"/>
  <c r="Y497" i="16" s="1"/>
  <c r="AC497" i="16"/>
  <c r="AD497" i="16" s="1"/>
  <c r="AE497" i="16"/>
  <c r="AF497" i="16" s="1"/>
  <c r="T498" i="16"/>
  <c r="V498" i="16"/>
  <c r="W498" i="16"/>
  <c r="X498" i="16"/>
  <c r="Y498" i="16"/>
  <c r="AC498" i="16"/>
  <c r="AD498" i="16"/>
  <c r="AE498" i="16"/>
  <c r="AF498" i="16"/>
  <c r="T499" i="16"/>
  <c r="V499" i="16"/>
  <c r="W499" i="16" s="1"/>
  <c r="X499" i="16"/>
  <c r="Y499" i="16" s="1"/>
  <c r="AC499" i="16"/>
  <c r="AD499" i="16" s="1"/>
  <c r="AE499" i="16"/>
  <c r="AF499" i="16" s="1"/>
  <c r="T500" i="16"/>
  <c r="V500" i="16"/>
  <c r="W500" i="16"/>
  <c r="X500" i="16"/>
  <c r="Y500" i="16"/>
  <c r="AC500" i="16"/>
  <c r="AD500" i="16"/>
  <c r="AE500" i="16"/>
  <c r="AF500" i="16"/>
  <c r="T501" i="16"/>
  <c r="V501" i="16"/>
  <c r="W501" i="16" s="1"/>
  <c r="X501" i="16"/>
  <c r="Y501" i="16" s="1"/>
  <c r="AC501" i="16"/>
  <c r="AD501" i="16" s="1"/>
  <c r="AE501" i="16"/>
  <c r="AF501" i="16" s="1"/>
  <c r="AE480" i="16"/>
  <c r="AF480" i="16" s="1"/>
  <c r="AF479" i="16" s="1"/>
  <c r="AC480" i="16"/>
  <c r="AD480" i="16"/>
  <c r="X480" i="16"/>
  <c r="Y480" i="16"/>
  <c r="V480" i="16"/>
  <c r="W480" i="16"/>
  <c r="T480" i="16"/>
  <c r="T457" i="16"/>
  <c r="V457" i="16"/>
  <c r="W457" i="16"/>
  <c r="X457" i="16"/>
  <c r="Y457" i="16"/>
  <c r="AA457" i="16"/>
  <c r="AB457" i="16"/>
  <c r="AC457" i="16"/>
  <c r="AD457" i="16"/>
  <c r="AE457" i="16"/>
  <c r="AF457" i="16"/>
  <c r="T458" i="16"/>
  <c r="V458" i="16"/>
  <c r="W458" i="16" s="1"/>
  <c r="X458" i="16"/>
  <c r="Y458" i="16" s="1"/>
  <c r="AA458" i="16"/>
  <c r="AB458" i="16" s="1"/>
  <c r="AC458" i="16"/>
  <c r="AD458" i="16" s="1"/>
  <c r="AE458" i="16"/>
  <c r="AF458" i="16" s="1"/>
  <c r="T459" i="16"/>
  <c r="V459" i="16"/>
  <c r="W459" i="16"/>
  <c r="X459" i="16"/>
  <c r="Y459" i="16"/>
  <c r="AA459" i="16"/>
  <c r="AB459" i="16"/>
  <c r="AC459" i="16"/>
  <c r="AD459" i="16"/>
  <c r="AE459" i="16"/>
  <c r="AF459" i="16"/>
  <c r="T460" i="16"/>
  <c r="V460" i="16"/>
  <c r="W460" i="16" s="1"/>
  <c r="X460" i="16"/>
  <c r="Y460" i="16" s="1"/>
  <c r="AA460" i="16"/>
  <c r="AB460" i="16" s="1"/>
  <c r="AC460" i="16"/>
  <c r="AD460" i="16" s="1"/>
  <c r="AE460" i="16"/>
  <c r="AF460" i="16" s="1"/>
  <c r="T461" i="16"/>
  <c r="V461" i="16"/>
  <c r="W461" i="16"/>
  <c r="X461" i="16"/>
  <c r="Y461" i="16"/>
  <c r="AA461" i="16"/>
  <c r="AB461" i="16"/>
  <c r="AC461" i="16"/>
  <c r="AD461" i="16"/>
  <c r="AE461" i="16"/>
  <c r="AF461" i="16"/>
  <c r="T462" i="16"/>
  <c r="V462" i="16"/>
  <c r="W462" i="16" s="1"/>
  <c r="X462" i="16"/>
  <c r="Y462" i="16" s="1"/>
  <c r="AA462" i="16"/>
  <c r="AB462" i="16" s="1"/>
  <c r="AC462" i="16"/>
  <c r="AD462" i="16" s="1"/>
  <c r="AE462" i="16"/>
  <c r="AF462" i="16" s="1"/>
  <c r="T463" i="16"/>
  <c r="V463" i="16"/>
  <c r="W463" i="16"/>
  <c r="X463" i="16"/>
  <c r="Y463" i="16"/>
  <c r="AA463" i="16"/>
  <c r="AB463" i="16"/>
  <c r="AC463" i="16"/>
  <c r="AD463" i="16"/>
  <c r="AE463" i="16"/>
  <c r="AF463" i="16"/>
  <c r="T464" i="16"/>
  <c r="V464" i="16"/>
  <c r="W464" i="16" s="1"/>
  <c r="X464" i="16"/>
  <c r="Y464" i="16" s="1"/>
  <c r="AA464" i="16"/>
  <c r="AB464" i="16" s="1"/>
  <c r="AC464" i="16"/>
  <c r="AD464" i="16" s="1"/>
  <c r="AE464" i="16"/>
  <c r="AF464" i="16" s="1"/>
  <c r="T465" i="16"/>
  <c r="V465" i="16"/>
  <c r="W465" i="16"/>
  <c r="X465" i="16"/>
  <c r="Y465" i="16"/>
  <c r="AA465" i="16"/>
  <c r="AB465" i="16"/>
  <c r="AC465" i="16"/>
  <c r="AD465" i="16"/>
  <c r="AE465" i="16"/>
  <c r="AF465" i="16"/>
  <c r="T466" i="16"/>
  <c r="V466" i="16"/>
  <c r="W466" i="16" s="1"/>
  <c r="X466" i="16"/>
  <c r="Y466" i="16" s="1"/>
  <c r="AA466" i="16"/>
  <c r="AB466" i="16" s="1"/>
  <c r="AC466" i="16"/>
  <c r="AD466" i="16" s="1"/>
  <c r="AE466" i="16"/>
  <c r="AF466" i="16" s="1"/>
  <c r="T467" i="16"/>
  <c r="V467" i="16"/>
  <c r="W467" i="16"/>
  <c r="X467" i="16"/>
  <c r="Y467" i="16"/>
  <c r="AA467" i="16"/>
  <c r="AB467" i="16"/>
  <c r="AC467" i="16"/>
  <c r="AD467" i="16"/>
  <c r="AE467" i="16"/>
  <c r="AF467" i="16"/>
  <c r="T468" i="16"/>
  <c r="V468" i="16"/>
  <c r="W468" i="16" s="1"/>
  <c r="X468" i="16"/>
  <c r="Y468" i="16" s="1"/>
  <c r="AA468" i="16"/>
  <c r="AB468" i="16" s="1"/>
  <c r="AC468" i="16"/>
  <c r="AD468" i="16" s="1"/>
  <c r="AE468" i="16"/>
  <c r="AF468" i="16" s="1"/>
  <c r="T469" i="16"/>
  <c r="V469" i="16"/>
  <c r="W469" i="16"/>
  <c r="X469" i="16"/>
  <c r="Y469" i="16"/>
  <c r="AA469" i="16"/>
  <c r="AB469" i="16"/>
  <c r="AC469" i="16"/>
  <c r="AD469" i="16"/>
  <c r="AE469" i="16"/>
  <c r="AF469" i="16"/>
  <c r="T470" i="16"/>
  <c r="V470" i="16"/>
  <c r="W470" i="16" s="1"/>
  <c r="X470" i="16"/>
  <c r="Y470" i="16" s="1"/>
  <c r="AA470" i="16"/>
  <c r="AB470" i="16" s="1"/>
  <c r="AC470" i="16"/>
  <c r="AD470" i="16" s="1"/>
  <c r="AE470" i="16"/>
  <c r="AF470" i="16" s="1"/>
  <c r="T471" i="16"/>
  <c r="V471" i="16"/>
  <c r="W471" i="16"/>
  <c r="X471" i="16"/>
  <c r="Y471" i="16"/>
  <c r="AA471" i="16"/>
  <c r="AB471" i="16"/>
  <c r="AC471" i="16"/>
  <c r="AD471" i="16"/>
  <c r="AE471" i="16"/>
  <c r="AF471" i="16"/>
  <c r="T472" i="16"/>
  <c r="V472" i="16"/>
  <c r="W472" i="16" s="1"/>
  <c r="X472" i="16"/>
  <c r="Y472" i="16" s="1"/>
  <c r="AA472" i="16"/>
  <c r="AB472" i="16" s="1"/>
  <c r="AC472" i="16"/>
  <c r="AD472" i="16" s="1"/>
  <c r="AE472" i="16"/>
  <c r="AF472" i="16" s="1"/>
  <c r="T473" i="16"/>
  <c r="V473" i="16"/>
  <c r="W473" i="16"/>
  <c r="X473" i="16"/>
  <c r="Y473" i="16"/>
  <c r="AA473" i="16"/>
  <c r="AB473" i="16"/>
  <c r="AC473" i="16"/>
  <c r="AD473" i="16"/>
  <c r="AE473" i="16"/>
  <c r="AF473" i="16"/>
  <c r="T474" i="16"/>
  <c r="V474" i="16"/>
  <c r="W474" i="16" s="1"/>
  <c r="X474" i="16"/>
  <c r="Y474" i="16" s="1"/>
  <c r="AA474" i="16"/>
  <c r="AB474" i="16" s="1"/>
  <c r="AC474" i="16"/>
  <c r="AD474" i="16" s="1"/>
  <c r="AE474" i="16"/>
  <c r="AF474" i="16" s="1"/>
  <c r="T475" i="16"/>
  <c r="V475" i="16"/>
  <c r="W475" i="16"/>
  <c r="X475" i="16"/>
  <c r="Y475" i="16"/>
  <c r="AA475" i="16"/>
  <c r="AB475" i="16"/>
  <c r="AC475" i="16"/>
  <c r="AD475" i="16"/>
  <c r="AE475" i="16"/>
  <c r="AF475" i="16"/>
  <c r="T476" i="16"/>
  <c r="V476" i="16"/>
  <c r="W476" i="16" s="1"/>
  <c r="X476" i="16"/>
  <c r="Y476" i="16" s="1"/>
  <c r="AA476" i="16"/>
  <c r="AB476" i="16" s="1"/>
  <c r="AC476" i="16"/>
  <c r="AD476" i="16" s="1"/>
  <c r="AE476" i="16"/>
  <c r="AF476" i="16" s="1"/>
  <c r="T477" i="16"/>
  <c r="V477" i="16"/>
  <c r="W477" i="16"/>
  <c r="X477" i="16"/>
  <c r="Y477" i="16"/>
  <c r="AA477" i="16"/>
  <c r="AB477" i="16"/>
  <c r="AC477" i="16"/>
  <c r="AD477" i="16"/>
  <c r="AE477" i="16"/>
  <c r="AF477" i="16"/>
  <c r="AE456" i="16"/>
  <c r="AF456" i="16"/>
  <c r="AC456" i="16"/>
  <c r="AD456" i="16" s="1"/>
  <c r="AA456" i="16"/>
  <c r="AB456" i="16" s="1"/>
  <c r="X456" i="16"/>
  <c r="Y456" i="16" s="1"/>
  <c r="V456" i="16"/>
  <c r="W456" i="16" s="1"/>
  <c r="T456" i="16"/>
  <c r="T428" i="16"/>
  <c r="V428" i="16"/>
  <c r="W428" i="16" s="1"/>
  <c r="X428" i="16"/>
  <c r="Y428" i="16" s="1"/>
  <c r="AA428" i="16"/>
  <c r="AB428" i="16" s="1"/>
  <c r="AC428" i="16"/>
  <c r="AD428" i="16" s="1"/>
  <c r="AE428" i="16"/>
  <c r="AF428" i="16" s="1"/>
  <c r="T429" i="16"/>
  <c r="V429" i="16"/>
  <c r="W429" i="16"/>
  <c r="X429" i="16"/>
  <c r="Y429" i="16"/>
  <c r="AA429" i="16"/>
  <c r="AB429" i="16"/>
  <c r="AC429" i="16"/>
  <c r="AD429" i="16"/>
  <c r="AE429" i="16"/>
  <c r="AF429" i="16"/>
  <c r="T430" i="16"/>
  <c r="V430" i="16"/>
  <c r="W430" i="16" s="1"/>
  <c r="X430" i="16"/>
  <c r="Y430" i="16" s="1"/>
  <c r="AA430" i="16"/>
  <c r="AB430" i="16" s="1"/>
  <c r="AC430" i="16"/>
  <c r="AD430" i="16" s="1"/>
  <c r="AE430" i="16"/>
  <c r="AF430" i="16" s="1"/>
  <c r="T431" i="16"/>
  <c r="V431" i="16"/>
  <c r="W431" i="16"/>
  <c r="X431" i="16"/>
  <c r="Y431" i="16"/>
  <c r="AA431" i="16"/>
  <c r="AB431" i="16"/>
  <c r="AC431" i="16"/>
  <c r="AD431" i="16"/>
  <c r="AE431" i="16"/>
  <c r="AF431" i="16"/>
  <c r="T432" i="16"/>
  <c r="V432" i="16"/>
  <c r="W432" i="16" s="1"/>
  <c r="X432" i="16"/>
  <c r="Y432" i="16" s="1"/>
  <c r="AA432" i="16"/>
  <c r="AB432" i="16" s="1"/>
  <c r="AC432" i="16"/>
  <c r="AD432" i="16" s="1"/>
  <c r="AE432" i="16"/>
  <c r="AF432" i="16" s="1"/>
  <c r="T433" i="16"/>
  <c r="V433" i="16"/>
  <c r="W433" i="16"/>
  <c r="X433" i="16"/>
  <c r="Y433" i="16"/>
  <c r="AA433" i="16"/>
  <c r="AB433" i="16"/>
  <c r="AC433" i="16"/>
  <c r="AD433" i="16"/>
  <c r="AE433" i="16"/>
  <c r="AF433" i="16"/>
  <c r="T434" i="16"/>
  <c r="V434" i="16"/>
  <c r="W434" i="16" s="1"/>
  <c r="X434" i="16"/>
  <c r="Y434" i="16" s="1"/>
  <c r="AA434" i="16"/>
  <c r="AB434" i="16" s="1"/>
  <c r="AC434" i="16"/>
  <c r="AD434" i="16" s="1"/>
  <c r="AE434" i="16"/>
  <c r="AF434" i="16" s="1"/>
  <c r="T435" i="16"/>
  <c r="V435" i="16"/>
  <c r="W435" i="16"/>
  <c r="X435" i="16"/>
  <c r="Y435" i="16"/>
  <c r="AA435" i="16"/>
  <c r="AB435" i="16"/>
  <c r="AC435" i="16"/>
  <c r="AD435" i="16"/>
  <c r="AE435" i="16"/>
  <c r="AF435" i="16"/>
  <c r="T436" i="16"/>
  <c r="V436" i="16"/>
  <c r="W436" i="16" s="1"/>
  <c r="X436" i="16"/>
  <c r="Y436" i="16" s="1"/>
  <c r="AA436" i="16"/>
  <c r="AB436" i="16" s="1"/>
  <c r="AC436" i="16"/>
  <c r="AD436" i="16" s="1"/>
  <c r="AE436" i="16"/>
  <c r="AF436" i="16" s="1"/>
  <c r="T437" i="16"/>
  <c r="U437" i="16" s="1"/>
  <c r="V437" i="16"/>
  <c r="W437" i="16"/>
  <c r="X437" i="16"/>
  <c r="Y437" i="16"/>
  <c r="AA437" i="16"/>
  <c r="AB437" i="16"/>
  <c r="AC437" i="16"/>
  <c r="AD437" i="16"/>
  <c r="AE437" i="16"/>
  <c r="AF437" i="16"/>
  <c r="T438" i="16"/>
  <c r="V438" i="16"/>
  <c r="W438" i="16" s="1"/>
  <c r="X438" i="16"/>
  <c r="Y438" i="16" s="1"/>
  <c r="AA438" i="16"/>
  <c r="AB438" i="16" s="1"/>
  <c r="AC438" i="16"/>
  <c r="AD438" i="16" s="1"/>
  <c r="AE438" i="16"/>
  <c r="AF438" i="16" s="1"/>
  <c r="T439" i="16"/>
  <c r="V439" i="16"/>
  <c r="W439" i="16"/>
  <c r="X439" i="16"/>
  <c r="Y439" i="16"/>
  <c r="AA439" i="16"/>
  <c r="AB439" i="16"/>
  <c r="AC439" i="16"/>
  <c r="AD439" i="16"/>
  <c r="AE439" i="16"/>
  <c r="AF439" i="16"/>
  <c r="T440" i="16"/>
  <c r="V440" i="16"/>
  <c r="W440" i="16" s="1"/>
  <c r="X440" i="16"/>
  <c r="Y440" i="16" s="1"/>
  <c r="AA440" i="16"/>
  <c r="AB440" i="16" s="1"/>
  <c r="AC440" i="16"/>
  <c r="AD440" i="16" s="1"/>
  <c r="AE440" i="16"/>
  <c r="AF440" i="16" s="1"/>
  <c r="T441" i="16"/>
  <c r="V441" i="16"/>
  <c r="W441" i="16"/>
  <c r="X441" i="16"/>
  <c r="Y441" i="16"/>
  <c r="AA441" i="16"/>
  <c r="AB441" i="16"/>
  <c r="AC441" i="16"/>
  <c r="AD441" i="16"/>
  <c r="AE441" i="16"/>
  <c r="AF441" i="16"/>
  <c r="T442" i="16"/>
  <c r="V442" i="16"/>
  <c r="W442" i="16" s="1"/>
  <c r="X442" i="16"/>
  <c r="Y442" i="16" s="1"/>
  <c r="AA442" i="16"/>
  <c r="AB442" i="16" s="1"/>
  <c r="AC442" i="16"/>
  <c r="AD442" i="16" s="1"/>
  <c r="AE442" i="16"/>
  <c r="AF442" i="16" s="1"/>
  <c r="T443" i="16"/>
  <c r="V443" i="16"/>
  <c r="W443" i="16"/>
  <c r="X443" i="16"/>
  <c r="Y443" i="16"/>
  <c r="AA443" i="16"/>
  <c r="AB443" i="16"/>
  <c r="AC443" i="16"/>
  <c r="AD443" i="16"/>
  <c r="AE443" i="16"/>
  <c r="AF443" i="16"/>
  <c r="T444" i="16"/>
  <c r="V444" i="16"/>
  <c r="W444" i="16" s="1"/>
  <c r="X444" i="16"/>
  <c r="Y444" i="16" s="1"/>
  <c r="AA444" i="16"/>
  <c r="AB444" i="16" s="1"/>
  <c r="AC444" i="16"/>
  <c r="AD444" i="16" s="1"/>
  <c r="AE444" i="16"/>
  <c r="AF444" i="16" s="1"/>
  <c r="T445" i="16"/>
  <c r="V445" i="16"/>
  <c r="W445" i="16"/>
  <c r="X445" i="16"/>
  <c r="Y445" i="16"/>
  <c r="AA445" i="16"/>
  <c r="AB445" i="16"/>
  <c r="AC445" i="16"/>
  <c r="AD445" i="16"/>
  <c r="AE445" i="16"/>
  <c r="AF445" i="16"/>
  <c r="T446" i="16"/>
  <c r="V446" i="16"/>
  <c r="W446" i="16" s="1"/>
  <c r="X446" i="16"/>
  <c r="Y446" i="16" s="1"/>
  <c r="AA446" i="16"/>
  <c r="AB446" i="16" s="1"/>
  <c r="AC446" i="16"/>
  <c r="AD446" i="16" s="1"/>
  <c r="AE446" i="16"/>
  <c r="AF446" i="16" s="1"/>
  <c r="T447" i="16"/>
  <c r="V447" i="16"/>
  <c r="W447" i="16"/>
  <c r="X447" i="16"/>
  <c r="Y447" i="16"/>
  <c r="AA447" i="16"/>
  <c r="AB447" i="16"/>
  <c r="AC447" i="16"/>
  <c r="AD447" i="16"/>
  <c r="AE447" i="16"/>
  <c r="AF447" i="16"/>
  <c r="T448" i="16"/>
  <c r="V448" i="16"/>
  <c r="W448" i="16" s="1"/>
  <c r="X448" i="16"/>
  <c r="Y448" i="16" s="1"/>
  <c r="AA448" i="16"/>
  <c r="AB448" i="16" s="1"/>
  <c r="AC448" i="16"/>
  <c r="AD448" i="16" s="1"/>
  <c r="AE448" i="16"/>
  <c r="AF448" i="16" s="1"/>
  <c r="T449" i="16"/>
  <c r="V449" i="16"/>
  <c r="W449" i="16"/>
  <c r="X449" i="16"/>
  <c r="Y449" i="16"/>
  <c r="AA449" i="16"/>
  <c r="AB449" i="16"/>
  <c r="AC449" i="16"/>
  <c r="AD449" i="16"/>
  <c r="AE449" i="16"/>
  <c r="AF449" i="16"/>
  <c r="T450" i="16"/>
  <c r="V450" i="16"/>
  <c r="W450" i="16" s="1"/>
  <c r="X450" i="16"/>
  <c r="Y450" i="16" s="1"/>
  <c r="AA450" i="16"/>
  <c r="AB450" i="16" s="1"/>
  <c r="AC450" i="16"/>
  <c r="AD450" i="16" s="1"/>
  <c r="AE450" i="16"/>
  <c r="AF450" i="16" s="1"/>
  <c r="T451" i="16"/>
  <c r="V451" i="16"/>
  <c r="W451" i="16"/>
  <c r="X451" i="16"/>
  <c r="Y451" i="16"/>
  <c r="AA451" i="16"/>
  <c r="AB451" i="16"/>
  <c r="AC451" i="16"/>
  <c r="AD451" i="16"/>
  <c r="AE451" i="16"/>
  <c r="AF451" i="16"/>
  <c r="T452" i="16"/>
  <c r="V452" i="16"/>
  <c r="W452" i="16" s="1"/>
  <c r="X452" i="16"/>
  <c r="Y452" i="16" s="1"/>
  <c r="AA452" i="16"/>
  <c r="AB452" i="16" s="1"/>
  <c r="AC452" i="16"/>
  <c r="AD452" i="16" s="1"/>
  <c r="AE452" i="16"/>
  <c r="AF452" i="16" s="1"/>
  <c r="T453" i="16"/>
  <c r="V453" i="16"/>
  <c r="W453" i="16"/>
  <c r="X453" i="16"/>
  <c r="Y453" i="16"/>
  <c r="AA453" i="16"/>
  <c r="AB453" i="16"/>
  <c r="AC453" i="16"/>
  <c r="AD453" i="16"/>
  <c r="AE453" i="16"/>
  <c r="AF453" i="16"/>
  <c r="AE427" i="16"/>
  <c r="AF427" i="16"/>
  <c r="AC427" i="16"/>
  <c r="AD427" i="16"/>
  <c r="AA427" i="16"/>
  <c r="AB427" i="16"/>
  <c r="X427" i="16"/>
  <c r="V427" i="16"/>
  <c r="W427" i="16" s="1"/>
  <c r="T427" i="16"/>
  <c r="U427" i="16" s="1"/>
  <c r="T400" i="16"/>
  <c r="V400" i="16"/>
  <c r="W400" i="16"/>
  <c r="X400" i="16"/>
  <c r="Y400" i="16"/>
  <c r="AA400" i="16"/>
  <c r="AB400" i="16"/>
  <c r="AC400" i="16"/>
  <c r="AD400" i="16"/>
  <c r="AE400" i="16"/>
  <c r="AF400" i="16"/>
  <c r="AF398" i="16" s="1"/>
  <c r="T401" i="16"/>
  <c r="V401" i="16"/>
  <c r="W401" i="16" s="1"/>
  <c r="X401" i="16"/>
  <c r="Y401" i="16" s="1"/>
  <c r="AA401" i="16"/>
  <c r="AB401" i="16" s="1"/>
  <c r="AC401" i="16"/>
  <c r="AD401" i="16" s="1"/>
  <c r="AE401" i="16"/>
  <c r="AF401" i="16" s="1"/>
  <c r="AE399" i="16"/>
  <c r="AF399" i="16" s="1"/>
  <c r="AE402" i="16"/>
  <c r="AF402" i="16" s="1"/>
  <c r="AE403" i="16"/>
  <c r="AF403" i="16" s="1"/>
  <c r="AE404" i="16"/>
  <c r="AF404" i="16" s="1"/>
  <c r="AE405" i="16"/>
  <c r="AF405" i="16" s="1"/>
  <c r="AE406" i="16"/>
  <c r="AF406" i="16" s="1"/>
  <c r="AE407" i="16"/>
  <c r="AF407" i="16" s="1"/>
  <c r="AE408" i="16"/>
  <c r="AF408" i="16" s="1"/>
  <c r="AE409" i="16"/>
  <c r="AF409" i="16" s="1"/>
  <c r="AE410" i="16"/>
  <c r="AF410" i="16" s="1"/>
  <c r="AE411" i="16"/>
  <c r="AF411" i="16" s="1"/>
  <c r="AE412" i="16"/>
  <c r="AF412" i="16" s="1"/>
  <c r="AE413" i="16"/>
  <c r="AF413" i="16" s="1"/>
  <c r="AE414" i="16"/>
  <c r="AF414" i="16" s="1"/>
  <c r="AE415" i="16"/>
  <c r="AF415" i="16" s="1"/>
  <c r="AE416" i="16"/>
  <c r="AF416" i="16" s="1"/>
  <c r="AE417" i="16"/>
  <c r="AF417" i="16" s="1"/>
  <c r="AE418" i="16"/>
  <c r="AF418" i="16" s="1"/>
  <c r="AE419" i="16"/>
  <c r="AF419" i="16" s="1"/>
  <c r="AE420" i="16"/>
  <c r="AF420" i="16" s="1"/>
  <c r="AE421" i="16"/>
  <c r="AF421" i="16" s="1"/>
  <c r="AE422" i="16"/>
  <c r="AF422" i="16" s="1"/>
  <c r="AE423" i="16"/>
  <c r="AF423" i="16" s="1"/>
  <c r="AE424" i="16"/>
  <c r="AF424" i="16" s="1"/>
  <c r="T402" i="16"/>
  <c r="V402" i="16"/>
  <c r="W402" i="16" s="1"/>
  <c r="X402" i="16"/>
  <c r="Y402" i="16" s="1"/>
  <c r="AA402" i="16"/>
  <c r="AB402" i="16" s="1"/>
  <c r="AC402" i="16"/>
  <c r="AD402" i="16" s="1"/>
  <c r="T403" i="16"/>
  <c r="V403" i="16"/>
  <c r="W403" i="16"/>
  <c r="X403" i="16"/>
  <c r="Y403" i="16"/>
  <c r="AA403" i="16"/>
  <c r="AB403" i="16"/>
  <c r="AC403" i="16"/>
  <c r="AD403" i="16"/>
  <c r="T404" i="16"/>
  <c r="V404" i="16"/>
  <c r="W404" i="16" s="1"/>
  <c r="X404" i="16"/>
  <c r="Y404" i="16" s="1"/>
  <c r="AA404" i="16"/>
  <c r="AB404" i="16" s="1"/>
  <c r="AC404" i="16"/>
  <c r="AD404" i="16" s="1"/>
  <c r="T405" i="16"/>
  <c r="V405" i="16"/>
  <c r="W405" i="16"/>
  <c r="X405" i="16"/>
  <c r="Y405" i="16"/>
  <c r="AA405" i="16"/>
  <c r="AB405" i="16"/>
  <c r="AC405" i="16"/>
  <c r="AD405" i="16"/>
  <c r="T406" i="16"/>
  <c r="V406" i="16"/>
  <c r="W406" i="16" s="1"/>
  <c r="X406" i="16"/>
  <c r="Y406" i="16" s="1"/>
  <c r="AA406" i="16"/>
  <c r="AB406" i="16" s="1"/>
  <c r="AC406" i="16"/>
  <c r="AD406" i="16" s="1"/>
  <c r="T407" i="16"/>
  <c r="V407" i="16"/>
  <c r="W407" i="16"/>
  <c r="X407" i="16"/>
  <c r="Y407" i="16"/>
  <c r="AA407" i="16"/>
  <c r="AB407" i="16"/>
  <c r="AC407" i="16"/>
  <c r="AD407" i="16"/>
  <c r="T408" i="16"/>
  <c r="V408" i="16"/>
  <c r="W408" i="16" s="1"/>
  <c r="X408" i="16"/>
  <c r="Y408" i="16" s="1"/>
  <c r="AA408" i="16"/>
  <c r="AB408" i="16" s="1"/>
  <c r="AC408" i="16"/>
  <c r="AD408" i="16" s="1"/>
  <c r="T409" i="16"/>
  <c r="V409" i="16"/>
  <c r="W409" i="16"/>
  <c r="X409" i="16"/>
  <c r="Y409" i="16"/>
  <c r="AA409" i="16"/>
  <c r="AB409" i="16"/>
  <c r="AC409" i="16"/>
  <c r="AD409" i="16"/>
  <c r="T410" i="16"/>
  <c r="V410" i="16"/>
  <c r="W410" i="16" s="1"/>
  <c r="X410" i="16"/>
  <c r="Y410" i="16" s="1"/>
  <c r="AA410" i="16"/>
  <c r="AB410" i="16" s="1"/>
  <c r="AC410" i="16"/>
  <c r="AD410" i="16" s="1"/>
  <c r="T411" i="16"/>
  <c r="V411" i="16"/>
  <c r="W411" i="16"/>
  <c r="X411" i="16"/>
  <c r="Y411" i="16"/>
  <c r="AA411" i="16"/>
  <c r="AB411" i="16"/>
  <c r="AC411" i="16"/>
  <c r="AD411" i="16"/>
  <c r="T412" i="16"/>
  <c r="V412" i="16"/>
  <c r="W412" i="16" s="1"/>
  <c r="X412" i="16"/>
  <c r="Y412" i="16" s="1"/>
  <c r="AA412" i="16"/>
  <c r="AB412" i="16" s="1"/>
  <c r="AC412" i="16"/>
  <c r="AD412" i="16" s="1"/>
  <c r="T413" i="16"/>
  <c r="V413" i="16"/>
  <c r="W413" i="16"/>
  <c r="X413" i="16"/>
  <c r="Y413" i="16"/>
  <c r="AA413" i="16"/>
  <c r="AB413" i="16"/>
  <c r="AC413" i="16"/>
  <c r="AD413" i="16"/>
  <c r="T414" i="16"/>
  <c r="V414" i="16"/>
  <c r="W414" i="16" s="1"/>
  <c r="X414" i="16"/>
  <c r="Y414" i="16" s="1"/>
  <c r="AA414" i="16"/>
  <c r="AB414" i="16" s="1"/>
  <c r="AC414" i="16"/>
  <c r="AD414" i="16" s="1"/>
  <c r="T415" i="16"/>
  <c r="V415" i="16"/>
  <c r="W415" i="16"/>
  <c r="X415" i="16"/>
  <c r="Y415" i="16"/>
  <c r="AA415" i="16"/>
  <c r="AB415" i="16"/>
  <c r="AC415" i="16"/>
  <c r="AD415" i="16"/>
  <c r="T416" i="16"/>
  <c r="V416" i="16"/>
  <c r="W416" i="16" s="1"/>
  <c r="X416" i="16"/>
  <c r="Y416" i="16" s="1"/>
  <c r="AA416" i="16"/>
  <c r="AB416" i="16" s="1"/>
  <c r="AC416" i="16"/>
  <c r="AD416" i="16" s="1"/>
  <c r="T417" i="16"/>
  <c r="V417" i="16"/>
  <c r="W417" i="16"/>
  <c r="X417" i="16"/>
  <c r="Y417" i="16"/>
  <c r="AA417" i="16"/>
  <c r="AB417" i="16"/>
  <c r="AC417" i="16"/>
  <c r="AD417" i="16"/>
  <c r="T418" i="16"/>
  <c r="V418" i="16"/>
  <c r="W418" i="16" s="1"/>
  <c r="X418" i="16"/>
  <c r="Y418" i="16" s="1"/>
  <c r="AA418" i="16"/>
  <c r="AB418" i="16" s="1"/>
  <c r="AC418" i="16"/>
  <c r="AD418" i="16" s="1"/>
  <c r="T419" i="16"/>
  <c r="V419" i="16"/>
  <c r="W419" i="16"/>
  <c r="X419" i="16"/>
  <c r="Y419" i="16"/>
  <c r="AA419" i="16"/>
  <c r="AB419" i="16"/>
  <c r="AC419" i="16"/>
  <c r="AD419" i="16"/>
  <c r="T420" i="16"/>
  <c r="V420" i="16"/>
  <c r="W420" i="16" s="1"/>
  <c r="X420" i="16"/>
  <c r="Y420" i="16" s="1"/>
  <c r="AA420" i="16"/>
  <c r="AB420" i="16" s="1"/>
  <c r="AC420" i="16"/>
  <c r="AD420" i="16" s="1"/>
  <c r="T421" i="16"/>
  <c r="V421" i="16"/>
  <c r="W421" i="16"/>
  <c r="X421" i="16"/>
  <c r="Y421" i="16"/>
  <c r="AA421" i="16"/>
  <c r="AB421" i="16"/>
  <c r="AC421" i="16"/>
  <c r="AD421" i="16"/>
  <c r="T422" i="16"/>
  <c r="V422" i="16"/>
  <c r="W422" i="16" s="1"/>
  <c r="X422" i="16"/>
  <c r="Y422" i="16" s="1"/>
  <c r="AA422" i="16"/>
  <c r="AB422" i="16" s="1"/>
  <c r="AC422" i="16"/>
  <c r="AD422" i="16" s="1"/>
  <c r="T423" i="16"/>
  <c r="V423" i="16"/>
  <c r="W423" i="16"/>
  <c r="X423" i="16"/>
  <c r="Y423" i="16"/>
  <c r="AA423" i="16"/>
  <c r="AB423" i="16"/>
  <c r="AC423" i="16"/>
  <c r="AD423" i="16"/>
  <c r="T424" i="16"/>
  <c r="V424" i="16"/>
  <c r="W424" i="16" s="1"/>
  <c r="X424" i="16"/>
  <c r="Y424" i="16" s="1"/>
  <c r="AA424" i="16"/>
  <c r="AB424" i="16" s="1"/>
  <c r="AC424" i="16"/>
  <c r="AD424" i="16" s="1"/>
  <c r="AC399" i="16"/>
  <c r="AD399" i="16" s="1"/>
  <c r="AA399" i="16"/>
  <c r="AB399" i="16" s="1"/>
  <c r="X399" i="16"/>
  <c r="Y399" i="16" s="1"/>
  <c r="V399" i="16"/>
  <c r="W399" i="16" s="1"/>
  <c r="T399" i="16"/>
  <c r="T382" i="16"/>
  <c r="V382" i="16"/>
  <c r="W382" i="16" s="1"/>
  <c r="X382" i="16"/>
  <c r="Y382" i="16" s="1"/>
  <c r="AA382" i="16"/>
  <c r="AB382" i="16" s="1"/>
  <c r="AC382" i="16"/>
  <c r="AD382" i="16" s="1"/>
  <c r="AE382" i="16"/>
  <c r="AF382" i="16" s="1"/>
  <c r="T383" i="16"/>
  <c r="V383" i="16"/>
  <c r="W383" i="16"/>
  <c r="X383" i="16"/>
  <c r="Y383" i="16"/>
  <c r="AA383" i="16"/>
  <c r="AB383" i="16"/>
  <c r="AC383" i="16"/>
  <c r="AD383" i="16"/>
  <c r="AE383" i="16"/>
  <c r="AF383" i="16"/>
  <c r="T384" i="16"/>
  <c r="V384" i="16"/>
  <c r="W384" i="16" s="1"/>
  <c r="X384" i="16"/>
  <c r="Y384" i="16" s="1"/>
  <c r="AA384" i="16"/>
  <c r="AB384" i="16" s="1"/>
  <c r="AC384" i="16"/>
  <c r="AD384" i="16" s="1"/>
  <c r="AE384" i="16"/>
  <c r="AF384" i="16" s="1"/>
  <c r="T385" i="16"/>
  <c r="V385" i="16"/>
  <c r="W385" i="16"/>
  <c r="X385" i="16"/>
  <c r="Y385" i="16"/>
  <c r="AA385" i="16"/>
  <c r="AB385" i="16"/>
  <c r="AC385" i="16"/>
  <c r="AD385" i="16"/>
  <c r="AE385" i="16"/>
  <c r="AF385" i="16"/>
  <c r="T386" i="16"/>
  <c r="V386" i="16"/>
  <c r="W386" i="16" s="1"/>
  <c r="X386" i="16"/>
  <c r="Y386" i="16" s="1"/>
  <c r="AA386" i="16"/>
  <c r="AB386" i="16" s="1"/>
  <c r="AC386" i="16"/>
  <c r="AD386" i="16" s="1"/>
  <c r="AE386" i="16"/>
  <c r="AF386" i="16" s="1"/>
  <c r="T387" i="16"/>
  <c r="V387" i="16"/>
  <c r="W387" i="16"/>
  <c r="X387" i="16"/>
  <c r="Y387" i="16"/>
  <c r="AA387" i="16"/>
  <c r="AB387" i="16"/>
  <c r="AC387" i="16"/>
  <c r="AD387" i="16"/>
  <c r="AE387" i="16"/>
  <c r="AF387" i="16"/>
  <c r="T388" i="16"/>
  <c r="V388" i="16"/>
  <c r="W388" i="16" s="1"/>
  <c r="X388" i="16"/>
  <c r="Y388" i="16" s="1"/>
  <c r="AA388" i="16"/>
  <c r="AB388" i="16" s="1"/>
  <c r="AC388" i="16"/>
  <c r="AD388" i="16" s="1"/>
  <c r="AE388" i="16"/>
  <c r="AF388" i="16" s="1"/>
  <c r="T389" i="16"/>
  <c r="V389" i="16"/>
  <c r="W389" i="16"/>
  <c r="X389" i="16"/>
  <c r="Y389" i="16"/>
  <c r="AA389" i="16"/>
  <c r="AB389" i="16"/>
  <c r="AC389" i="16"/>
  <c r="AD389" i="16"/>
  <c r="AE389" i="16"/>
  <c r="AF389" i="16"/>
  <c r="T390" i="16"/>
  <c r="V390" i="16"/>
  <c r="W390" i="16" s="1"/>
  <c r="X390" i="16"/>
  <c r="Y390" i="16" s="1"/>
  <c r="AA390" i="16"/>
  <c r="AB390" i="16" s="1"/>
  <c r="AC390" i="16"/>
  <c r="AD390" i="16" s="1"/>
  <c r="AE390" i="16"/>
  <c r="AF390" i="16" s="1"/>
  <c r="T391" i="16"/>
  <c r="U391" i="16" s="1"/>
  <c r="V391" i="16"/>
  <c r="W391" i="16"/>
  <c r="X391" i="16"/>
  <c r="Y391" i="16"/>
  <c r="AA391" i="16"/>
  <c r="AB391" i="16"/>
  <c r="AC391" i="16"/>
  <c r="AD391" i="16"/>
  <c r="AE391" i="16"/>
  <c r="AF391" i="16"/>
  <c r="T392" i="16"/>
  <c r="U392" i="16"/>
  <c r="V392" i="16"/>
  <c r="W392" i="16"/>
  <c r="X392" i="16"/>
  <c r="Y392" i="16"/>
  <c r="AA392" i="16"/>
  <c r="AB392" i="16"/>
  <c r="AC392" i="16"/>
  <c r="AD392" i="16"/>
  <c r="AE392" i="16"/>
  <c r="AF392" i="16"/>
  <c r="T393" i="16"/>
  <c r="V393" i="16"/>
  <c r="W393" i="16" s="1"/>
  <c r="X393" i="16"/>
  <c r="Y393" i="16" s="1"/>
  <c r="AA393" i="16"/>
  <c r="AB393" i="16" s="1"/>
  <c r="AC393" i="16"/>
  <c r="AD393" i="16" s="1"/>
  <c r="AE393" i="16"/>
  <c r="AF393" i="16" s="1"/>
  <c r="T394" i="16"/>
  <c r="V394" i="16"/>
  <c r="W394" i="16"/>
  <c r="X394" i="16"/>
  <c r="Y394" i="16"/>
  <c r="AA394" i="16"/>
  <c r="AB394" i="16"/>
  <c r="AC394" i="16"/>
  <c r="AD394" i="16"/>
  <c r="AE394" i="16"/>
  <c r="AF394" i="16"/>
  <c r="T395" i="16"/>
  <c r="V395" i="16"/>
  <c r="W395" i="16" s="1"/>
  <c r="X395" i="16"/>
  <c r="Y395" i="16" s="1"/>
  <c r="AA395" i="16"/>
  <c r="AB395" i="16" s="1"/>
  <c r="AC395" i="16"/>
  <c r="AD395" i="16" s="1"/>
  <c r="AE395" i="16"/>
  <c r="AF395" i="16" s="1"/>
  <c r="AE381" i="16"/>
  <c r="AF381" i="16" s="1"/>
  <c r="AC381" i="16"/>
  <c r="AD381" i="16" s="1"/>
  <c r="AA381" i="16"/>
  <c r="AB381" i="16" s="1"/>
  <c r="X381" i="16"/>
  <c r="Y381" i="16" s="1"/>
  <c r="V381" i="16"/>
  <c r="W381" i="16" s="1"/>
  <c r="T381" i="16"/>
  <c r="T378" i="16"/>
  <c r="V378" i="16"/>
  <c r="W378" i="16" s="1"/>
  <c r="V377" i="16"/>
  <c r="W377" i="16" s="1"/>
  <c r="W376" i="16" s="1"/>
  <c r="X378" i="16"/>
  <c r="Y378" i="16"/>
  <c r="AA378" i="16"/>
  <c r="AB378" i="16"/>
  <c r="AC378" i="16"/>
  <c r="AD378" i="16"/>
  <c r="AE378" i="16"/>
  <c r="AF378" i="16"/>
  <c r="AE377" i="16"/>
  <c r="AF377" i="16"/>
  <c r="AF376" i="16" s="1"/>
  <c r="AC377" i="16"/>
  <c r="AD377" i="16" s="1"/>
  <c r="AD376" i="16" s="1"/>
  <c r="AA377" i="16"/>
  <c r="AB377" i="16" s="1"/>
  <c r="X377" i="16"/>
  <c r="Y377" i="16" s="1"/>
  <c r="T377" i="16"/>
  <c r="T362" i="16"/>
  <c r="U362" i="16"/>
  <c r="V362" i="16"/>
  <c r="W362" i="16"/>
  <c r="X362" i="16"/>
  <c r="Y362" i="16"/>
  <c r="AA362" i="16"/>
  <c r="AB362" i="16"/>
  <c r="AC362" i="16"/>
  <c r="AD362" i="16"/>
  <c r="AE362" i="16"/>
  <c r="AF362" i="16"/>
  <c r="T363" i="16"/>
  <c r="U363" i="16"/>
  <c r="V363" i="16"/>
  <c r="W363" i="16"/>
  <c r="X363" i="16"/>
  <c r="Y363" i="16"/>
  <c r="AA363" i="16"/>
  <c r="AB363" i="16"/>
  <c r="AC363" i="16"/>
  <c r="AD363" i="16"/>
  <c r="AE363" i="16"/>
  <c r="AF363" i="16"/>
  <c r="T364" i="16"/>
  <c r="V364" i="16"/>
  <c r="W364" i="16" s="1"/>
  <c r="X364" i="16"/>
  <c r="Y364" i="16" s="1"/>
  <c r="AA364" i="16"/>
  <c r="AB364" i="16" s="1"/>
  <c r="AC364" i="16"/>
  <c r="AD364" i="16" s="1"/>
  <c r="AE364" i="16"/>
  <c r="AF364" i="16" s="1"/>
  <c r="T365" i="16"/>
  <c r="V365" i="16"/>
  <c r="W365" i="16"/>
  <c r="X365" i="16"/>
  <c r="Y365" i="16"/>
  <c r="AA365" i="16"/>
  <c r="AB365" i="16"/>
  <c r="AC365" i="16"/>
  <c r="AD365" i="16"/>
  <c r="AE365" i="16"/>
  <c r="AF365" i="16"/>
  <c r="T366" i="16"/>
  <c r="V366" i="16"/>
  <c r="W366" i="16" s="1"/>
  <c r="X366" i="16"/>
  <c r="Y366" i="16" s="1"/>
  <c r="AA366" i="16"/>
  <c r="AB366" i="16" s="1"/>
  <c r="AC366" i="16"/>
  <c r="AD366" i="16" s="1"/>
  <c r="AE366" i="16"/>
  <c r="AF366" i="16" s="1"/>
  <c r="T367" i="16"/>
  <c r="V367" i="16"/>
  <c r="W367" i="16"/>
  <c r="X367" i="16"/>
  <c r="Y367" i="16"/>
  <c r="AA367" i="16"/>
  <c r="AB367" i="16"/>
  <c r="AC367" i="16"/>
  <c r="AD367" i="16"/>
  <c r="AE367" i="16"/>
  <c r="AF367" i="16"/>
  <c r="T368" i="16"/>
  <c r="V368" i="16"/>
  <c r="W368" i="16" s="1"/>
  <c r="X368" i="16"/>
  <c r="Y368" i="16" s="1"/>
  <c r="AA368" i="16"/>
  <c r="AB368" i="16" s="1"/>
  <c r="AC368" i="16"/>
  <c r="AD368" i="16" s="1"/>
  <c r="AE368" i="16"/>
  <c r="AF368" i="16" s="1"/>
  <c r="T369" i="16"/>
  <c r="V369" i="16"/>
  <c r="W369" i="16"/>
  <c r="X369" i="16"/>
  <c r="Y369" i="16"/>
  <c r="X361" i="16"/>
  <c r="Y361" i="16"/>
  <c r="X370" i="16"/>
  <c r="Y370" i="16"/>
  <c r="X371" i="16"/>
  <c r="Y371" i="16"/>
  <c r="X372" i="16"/>
  <c r="Y372" i="16"/>
  <c r="X373" i="16"/>
  <c r="Y373" i="16"/>
  <c r="X374" i="16"/>
  <c r="Y374" i="16"/>
  <c r="AA369" i="16"/>
  <c r="AB369" i="16" s="1"/>
  <c r="AC369" i="16"/>
  <c r="AD369" i="16" s="1"/>
  <c r="AE369" i="16"/>
  <c r="AF369" i="16" s="1"/>
  <c r="T370" i="16"/>
  <c r="U370" i="16" s="1"/>
  <c r="V370" i="16"/>
  <c r="W370" i="16" s="1"/>
  <c r="AA370" i="16"/>
  <c r="AB370" i="16" s="1"/>
  <c r="AC370" i="16"/>
  <c r="AD370" i="16" s="1"/>
  <c r="AE370" i="16"/>
  <c r="AF370" i="16" s="1"/>
  <c r="T371" i="16"/>
  <c r="V371" i="16"/>
  <c r="W371" i="16"/>
  <c r="AA371" i="16"/>
  <c r="AB371" i="16"/>
  <c r="AC371" i="16"/>
  <c r="AD371" i="16"/>
  <c r="AE371" i="16"/>
  <c r="AF371" i="16"/>
  <c r="T372" i="16"/>
  <c r="V372" i="16"/>
  <c r="W372" i="16" s="1"/>
  <c r="AA372" i="16"/>
  <c r="AB372" i="16" s="1"/>
  <c r="AC372" i="16"/>
  <c r="AD372" i="16" s="1"/>
  <c r="AE372" i="16"/>
  <c r="AF372" i="16" s="1"/>
  <c r="T373" i="16"/>
  <c r="U373" i="16" s="1"/>
  <c r="V373" i="16"/>
  <c r="W373" i="16" s="1"/>
  <c r="AA373" i="16"/>
  <c r="AB373" i="16" s="1"/>
  <c r="AC373" i="16"/>
  <c r="AD373" i="16" s="1"/>
  <c r="AE373" i="16"/>
  <c r="AF373" i="16" s="1"/>
  <c r="T374" i="16"/>
  <c r="U374" i="16" s="1"/>
  <c r="V374" i="16"/>
  <c r="W374" i="16"/>
  <c r="AA374" i="16"/>
  <c r="AB374" i="16"/>
  <c r="AC374" i="16"/>
  <c r="AD374" i="16"/>
  <c r="AE374" i="16"/>
  <c r="AF374" i="16"/>
  <c r="AE361" i="16"/>
  <c r="AF361" i="16"/>
  <c r="AC361" i="16"/>
  <c r="AD361" i="16"/>
  <c r="AA361" i="16"/>
  <c r="AB361" i="16"/>
  <c r="V361" i="16"/>
  <c r="W361" i="16"/>
  <c r="T361" i="16"/>
  <c r="U361" i="16"/>
  <c r="T355" i="16"/>
  <c r="U355" i="16"/>
  <c r="V355" i="16"/>
  <c r="W355" i="16"/>
  <c r="X355" i="16"/>
  <c r="Y355" i="16"/>
  <c r="AA355" i="16"/>
  <c r="AB355" i="16"/>
  <c r="AC355" i="16"/>
  <c r="AD355" i="16"/>
  <c r="AE355" i="16"/>
  <c r="AF355" i="16"/>
  <c r="T356" i="16"/>
  <c r="U356" i="16"/>
  <c r="V356" i="16"/>
  <c r="W356" i="16"/>
  <c r="X356" i="16"/>
  <c r="Y356" i="16"/>
  <c r="X354" i="16"/>
  <c r="Y354" i="16"/>
  <c r="AA356" i="16"/>
  <c r="AB356" i="16" s="1"/>
  <c r="AC356" i="16"/>
  <c r="AD356" i="16" s="1"/>
  <c r="AE356" i="16"/>
  <c r="AF356" i="16" s="1"/>
  <c r="AE354" i="16"/>
  <c r="AF354" i="16" s="1"/>
  <c r="AC354" i="16"/>
  <c r="AD354" i="16" s="1"/>
  <c r="AD353" i="16"/>
  <c r="AA354" i="16"/>
  <c r="AB354" i="16"/>
  <c r="V354" i="16"/>
  <c r="W354" i="16"/>
  <c r="W353" i="16" s="1"/>
  <c r="T354" i="16"/>
  <c r="T345" i="16"/>
  <c r="V345" i="16"/>
  <c r="W345" i="16" s="1"/>
  <c r="X345" i="16"/>
  <c r="Y345" i="16" s="1"/>
  <c r="AA345" i="16"/>
  <c r="AB345" i="16" s="1"/>
  <c r="AA344" i="16"/>
  <c r="AB344" i="16" s="1"/>
  <c r="AB343" i="16" s="1"/>
  <c r="AA346" i="16"/>
  <c r="AB346" i="16" s="1"/>
  <c r="AA347" i="16"/>
  <c r="AB347" i="16" s="1"/>
  <c r="AA348" i="16"/>
  <c r="AB348" i="16" s="1"/>
  <c r="AA349" i="16"/>
  <c r="AB349" i="16" s="1"/>
  <c r="AA350" i="16"/>
  <c r="AB350" i="16" s="1"/>
  <c r="AA351" i="16"/>
  <c r="AB351" i="16" s="1"/>
  <c r="AC345" i="16"/>
  <c r="AD345" i="16"/>
  <c r="AE345" i="16"/>
  <c r="AF345" i="16"/>
  <c r="T346" i="16"/>
  <c r="V346" i="16"/>
  <c r="W346" i="16" s="1"/>
  <c r="X346" i="16"/>
  <c r="Y346" i="16" s="1"/>
  <c r="AC346" i="16"/>
  <c r="AD346" i="16" s="1"/>
  <c r="AC344" i="16"/>
  <c r="AD344" i="16" s="1"/>
  <c r="AC347" i="16"/>
  <c r="AD347" i="16" s="1"/>
  <c r="AC348" i="16"/>
  <c r="AD348" i="16" s="1"/>
  <c r="AC349" i="16"/>
  <c r="AD349" i="16" s="1"/>
  <c r="AC350" i="16"/>
  <c r="AD350" i="16" s="1"/>
  <c r="AC351" i="16"/>
  <c r="AD351" i="16" s="1"/>
  <c r="AD343" i="16"/>
  <c r="AE346" i="16"/>
  <c r="AF346" i="16"/>
  <c r="T347" i="16"/>
  <c r="V347" i="16"/>
  <c r="W347" i="16" s="1"/>
  <c r="X347" i="16"/>
  <c r="Y347" i="16" s="1"/>
  <c r="AE347" i="16"/>
  <c r="AF347" i="16" s="1"/>
  <c r="T348" i="16"/>
  <c r="V348" i="16"/>
  <c r="W348" i="16"/>
  <c r="X348" i="16"/>
  <c r="Y348" i="16"/>
  <c r="AE348" i="16"/>
  <c r="AF348" i="16"/>
  <c r="T349" i="16"/>
  <c r="V349" i="16"/>
  <c r="W349" i="16" s="1"/>
  <c r="X349" i="16"/>
  <c r="Y349" i="16" s="1"/>
  <c r="AE349" i="16"/>
  <c r="AF349" i="16" s="1"/>
  <c r="T350" i="16"/>
  <c r="V350" i="16"/>
  <c r="W350" i="16"/>
  <c r="X350" i="16"/>
  <c r="Y350" i="16"/>
  <c r="AE350" i="16"/>
  <c r="AF350" i="16"/>
  <c r="T351" i="16"/>
  <c r="U351" i="16"/>
  <c r="V351" i="16"/>
  <c r="X351" i="16"/>
  <c r="Y351" i="16" s="1"/>
  <c r="AE351" i="16"/>
  <c r="AF351" i="16" s="1"/>
  <c r="AE344" i="16"/>
  <c r="AF344" i="16" s="1"/>
  <c r="AF343" i="16" s="1"/>
  <c r="X344" i="16"/>
  <c r="Y344" i="16"/>
  <c r="V344" i="16"/>
  <c r="W344" i="16"/>
  <c r="T344" i="16"/>
  <c r="T324" i="16"/>
  <c r="V324" i="16"/>
  <c r="W324" i="16"/>
  <c r="X324" i="16"/>
  <c r="Y324" i="16"/>
  <c r="AA324" i="16"/>
  <c r="AB324" i="16"/>
  <c r="AC324" i="16"/>
  <c r="AD324" i="16"/>
  <c r="AE324" i="16"/>
  <c r="AF324" i="16"/>
  <c r="T325" i="16"/>
  <c r="V325" i="16"/>
  <c r="W325" i="16" s="1"/>
  <c r="X325" i="16"/>
  <c r="Y325" i="16" s="1"/>
  <c r="AA325" i="16"/>
  <c r="AB325" i="16" s="1"/>
  <c r="AC325" i="16"/>
  <c r="AD325" i="16" s="1"/>
  <c r="AD322" i="16" s="1"/>
  <c r="AE325" i="16"/>
  <c r="AF325" i="16" s="1"/>
  <c r="T326" i="16"/>
  <c r="U326" i="16" s="1"/>
  <c r="V326" i="16"/>
  <c r="X326" i="16"/>
  <c r="Y326" i="16"/>
  <c r="AA326" i="16"/>
  <c r="AB326" i="16"/>
  <c r="AC326" i="16"/>
  <c r="AD326" i="16"/>
  <c r="AE326" i="16"/>
  <c r="AF326" i="16"/>
  <c r="T327" i="16"/>
  <c r="V327" i="16"/>
  <c r="W327" i="16" s="1"/>
  <c r="X327" i="16"/>
  <c r="Y327" i="16" s="1"/>
  <c r="AA327" i="16"/>
  <c r="AB327" i="16" s="1"/>
  <c r="AC327" i="16"/>
  <c r="AD327" i="16" s="1"/>
  <c r="AE327" i="16"/>
  <c r="AF327" i="16" s="1"/>
  <c r="T328" i="16"/>
  <c r="V328" i="16"/>
  <c r="W328" i="16"/>
  <c r="X328" i="16"/>
  <c r="Y328" i="16"/>
  <c r="AA328" i="16"/>
  <c r="AB328" i="16"/>
  <c r="AC328" i="16"/>
  <c r="AD328" i="16"/>
  <c r="AE328" i="16"/>
  <c r="AF328" i="16"/>
  <c r="T329" i="16"/>
  <c r="V329" i="16"/>
  <c r="W329" i="16" s="1"/>
  <c r="X329" i="16"/>
  <c r="Y329" i="16" s="1"/>
  <c r="AA329" i="16"/>
  <c r="AB329" i="16" s="1"/>
  <c r="AC329" i="16"/>
  <c r="AD329" i="16" s="1"/>
  <c r="AE329" i="16"/>
  <c r="AF329" i="16" s="1"/>
  <c r="T330" i="16"/>
  <c r="V330" i="16"/>
  <c r="W330" i="16"/>
  <c r="X330" i="16"/>
  <c r="Y330" i="16"/>
  <c r="AA330" i="16"/>
  <c r="AB330" i="16"/>
  <c r="AC330" i="16"/>
  <c r="AD330" i="16"/>
  <c r="AE330" i="16"/>
  <c r="AF330" i="16"/>
  <c r="T331" i="16"/>
  <c r="V331" i="16"/>
  <c r="W331" i="16" s="1"/>
  <c r="X331" i="16"/>
  <c r="Y331" i="16" s="1"/>
  <c r="AA331" i="16"/>
  <c r="AB331" i="16" s="1"/>
  <c r="AC331" i="16"/>
  <c r="AD331" i="16" s="1"/>
  <c r="AE331" i="16"/>
  <c r="AF331" i="16" s="1"/>
  <c r="T332" i="16"/>
  <c r="V332" i="16"/>
  <c r="W332" i="16"/>
  <c r="X332" i="16"/>
  <c r="Y332" i="16"/>
  <c r="AA332" i="16"/>
  <c r="AB332" i="16"/>
  <c r="AC332" i="16"/>
  <c r="AD332" i="16"/>
  <c r="AE332" i="16"/>
  <c r="AF332" i="16"/>
  <c r="T333" i="16"/>
  <c r="V333" i="16"/>
  <c r="W333" i="16" s="1"/>
  <c r="X333" i="16"/>
  <c r="Y333" i="16" s="1"/>
  <c r="AA333" i="16"/>
  <c r="AB333" i="16" s="1"/>
  <c r="AC333" i="16"/>
  <c r="AD333" i="16" s="1"/>
  <c r="AE333" i="16"/>
  <c r="AF333" i="16" s="1"/>
  <c r="T334" i="16"/>
  <c r="U334" i="16" s="1"/>
  <c r="V334" i="16"/>
  <c r="X334" i="16"/>
  <c r="Y334" i="16"/>
  <c r="AA334" i="16"/>
  <c r="AB334" i="16"/>
  <c r="AC334" i="16"/>
  <c r="AD334" i="16"/>
  <c r="AE334" i="16"/>
  <c r="AF334" i="16"/>
  <c r="T335" i="16"/>
  <c r="V335" i="16"/>
  <c r="W335" i="16" s="1"/>
  <c r="X335" i="16"/>
  <c r="Y335" i="16" s="1"/>
  <c r="AA335" i="16"/>
  <c r="AB335" i="16" s="1"/>
  <c r="AC335" i="16"/>
  <c r="AD335" i="16" s="1"/>
  <c r="AE335" i="16"/>
  <c r="AF335" i="16" s="1"/>
  <c r="T336" i="16"/>
  <c r="V336" i="16"/>
  <c r="W336" i="16"/>
  <c r="X336" i="16"/>
  <c r="Y336" i="16"/>
  <c r="AA336" i="16"/>
  <c r="AB336" i="16"/>
  <c r="AC336" i="16"/>
  <c r="AD336" i="16"/>
  <c r="AE336" i="16"/>
  <c r="AF336" i="16"/>
  <c r="T337" i="16"/>
  <c r="U337" i="16"/>
  <c r="V337" i="16"/>
  <c r="X337" i="16"/>
  <c r="Y337" i="16" s="1"/>
  <c r="AA337" i="16"/>
  <c r="AB337" i="16" s="1"/>
  <c r="AC337" i="16"/>
  <c r="AD337" i="16" s="1"/>
  <c r="AE337" i="16"/>
  <c r="AF337" i="16" s="1"/>
  <c r="T338" i="16"/>
  <c r="U338" i="16" s="1"/>
  <c r="V338" i="16"/>
  <c r="X338" i="16"/>
  <c r="Y338" i="16"/>
  <c r="AA338" i="16"/>
  <c r="AC338" i="16"/>
  <c r="AD338" i="16" s="1"/>
  <c r="AE338" i="16"/>
  <c r="AF338" i="16" s="1"/>
  <c r="T339" i="16"/>
  <c r="U339" i="16" s="1"/>
  <c r="V339" i="16"/>
  <c r="X339" i="16"/>
  <c r="Y339" i="16"/>
  <c r="AA339" i="16"/>
  <c r="AB339" i="16"/>
  <c r="AC339" i="16"/>
  <c r="AD339" i="16"/>
  <c r="AE339" i="16"/>
  <c r="AF339" i="16"/>
  <c r="T340" i="16"/>
  <c r="U340" i="16"/>
  <c r="V340" i="16"/>
  <c r="X340" i="16"/>
  <c r="Y340" i="16" s="1"/>
  <c r="AA340" i="16"/>
  <c r="AB340" i="16" s="1"/>
  <c r="AC340" i="16"/>
  <c r="AD340" i="16" s="1"/>
  <c r="AE340" i="16"/>
  <c r="AF340" i="16" s="1"/>
  <c r="T341" i="16"/>
  <c r="V341" i="16"/>
  <c r="W341" i="16"/>
  <c r="X341" i="16"/>
  <c r="Y341" i="16"/>
  <c r="AA341" i="16"/>
  <c r="AB341" i="16"/>
  <c r="AC341" i="16"/>
  <c r="AD341" i="16"/>
  <c r="AE341" i="16"/>
  <c r="AF341" i="16"/>
  <c r="AE323" i="16"/>
  <c r="AF323" i="16"/>
  <c r="AC323" i="16"/>
  <c r="AD323" i="16"/>
  <c r="AA323" i="16"/>
  <c r="AB323" i="16"/>
  <c r="C338" i="16"/>
  <c r="AB338" i="16"/>
  <c r="X323" i="16"/>
  <c r="Y323" i="16" s="1"/>
  <c r="V323" i="16"/>
  <c r="W323" i="16" s="1"/>
  <c r="T323" i="16"/>
  <c r="T287" i="16"/>
  <c r="U287" i="16"/>
  <c r="V287" i="16"/>
  <c r="X287" i="16"/>
  <c r="Y287" i="16" s="1"/>
  <c r="AA287" i="16"/>
  <c r="AB287" i="16" s="1"/>
  <c r="AA286" i="16"/>
  <c r="AB286" i="16" s="1"/>
  <c r="AA288" i="16"/>
  <c r="AB288" i="16" s="1"/>
  <c r="AA289" i="16"/>
  <c r="AB289" i="16" s="1"/>
  <c r="AA290" i="16"/>
  <c r="AB290" i="16" s="1"/>
  <c r="AA291" i="16"/>
  <c r="AB291" i="16" s="1"/>
  <c r="AA292" i="16"/>
  <c r="AB292" i="16" s="1"/>
  <c r="AA293" i="16"/>
  <c r="AB293" i="16" s="1"/>
  <c r="AA294" i="16"/>
  <c r="AB294" i="16" s="1"/>
  <c r="AA295" i="16"/>
  <c r="AB295" i="16" s="1"/>
  <c r="AA296" i="16"/>
  <c r="AB296" i="16" s="1"/>
  <c r="AA297" i="16"/>
  <c r="AB297" i="16" s="1"/>
  <c r="AA298" i="16"/>
  <c r="AB298" i="16" s="1"/>
  <c r="AA299" i="16"/>
  <c r="AB299" i="16" s="1"/>
  <c r="AA300" i="16"/>
  <c r="AB300" i="16" s="1"/>
  <c r="AA301" i="16"/>
  <c r="AB301" i="16" s="1"/>
  <c r="AA302" i="16"/>
  <c r="AB302" i="16" s="1"/>
  <c r="AA303" i="16"/>
  <c r="AB303" i="16" s="1"/>
  <c r="AA304" i="16"/>
  <c r="AB304" i="16" s="1"/>
  <c r="AA305" i="16"/>
  <c r="AB305" i="16" s="1"/>
  <c r="AA306" i="16"/>
  <c r="AB306" i="16" s="1"/>
  <c r="AA307" i="16"/>
  <c r="AB307" i="16" s="1"/>
  <c r="AA308" i="16"/>
  <c r="AB308" i="16" s="1"/>
  <c r="AA309" i="16"/>
  <c r="AB309" i="16" s="1"/>
  <c r="AA310" i="16"/>
  <c r="AB310" i="16" s="1"/>
  <c r="AA311" i="16"/>
  <c r="AB311" i="16" s="1"/>
  <c r="AA312" i="16"/>
  <c r="AB312" i="16" s="1"/>
  <c r="AA313" i="16"/>
  <c r="AB313" i="16" s="1"/>
  <c r="AA314" i="16"/>
  <c r="AB314" i="16" s="1"/>
  <c r="AA315" i="16"/>
  <c r="AB315" i="16" s="1"/>
  <c r="AA316" i="16"/>
  <c r="AB316" i="16" s="1"/>
  <c r="AA317" i="16"/>
  <c r="AB317" i="16" s="1"/>
  <c r="AA318" i="16"/>
  <c r="AB318" i="16" s="1"/>
  <c r="AA319" i="16"/>
  <c r="AB319" i="16" s="1"/>
  <c r="AA320" i="16"/>
  <c r="AB320" i="16" s="1"/>
  <c r="AB285" i="16"/>
  <c r="AC287" i="16"/>
  <c r="AD287" i="16"/>
  <c r="AE287" i="16"/>
  <c r="AF287" i="16"/>
  <c r="T288" i="16"/>
  <c r="U288" i="16"/>
  <c r="V288" i="16"/>
  <c r="X288" i="16"/>
  <c r="Y288" i="16" s="1"/>
  <c r="AC288" i="16"/>
  <c r="AD288" i="16" s="1"/>
  <c r="AE288" i="16"/>
  <c r="AF288" i="16" s="1"/>
  <c r="T289" i="16"/>
  <c r="U289" i="16" s="1"/>
  <c r="V289" i="16"/>
  <c r="X289" i="16"/>
  <c r="Y289" i="16"/>
  <c r="AC289" i="16"/>
  <c r="AD289" i="16"/>
  <c r="AE289" i="16"/>
  <c r="AF289" i="16"/>
  <c r="T290" i="16"/>
  <c r="U290" i="16"/>
  <c r="V290" i="16"/>
  <c r="X290" i="16"/>
  <c r="Y290" i="16" s="1"/>
  <c r="AC290" i="16"/>
  <c r="AD290" i="16" s="1"/>
  <c r="AE290" i="16"/>
  <c r="AF290" i="16" s="1"/>
  <c r="T291" i="16"/>
  <c r="V291" i="16"/>
  <c r="W291" i="16"/>
  <c r="X291" i="16"/>
  <c r="Y291" i="16"/>
  <c r="AC291" i="16"/>
  <c r="AD291" i="16"/>
  <c r="AE291" i="16"/>
  <c r="AF291" i="16"/>
  <c r="T292" i="16"/>
  <c r="V292" i="16"/>
  <c r="W292" i="16" s="1"/>
  <c r="X292" i="16"/>
  <c r="Y292" i="16" s="1"/>
  <c r="AC292" i="16"/>
  <c r="AD292" i="16" s="1"/>
  <c r="AE292" i="16"/>
  <c r="AF292" i="16" s="1"/>
  <c r="T293" i="16"/>
  <c r="U293" i="16" s="1"/>
  <c r="V293" i="16"/>
  <c r="X293" i="16"/>
  <c r="Y293" i="16"/>
  <c r="AC293" i="16"/>
  <c r="AD293" i="16"/>
  <c r="AE293" i="16"/>
  <c r="AF293" i="16"/>
  <c r="T294" i="16"/>
  <c r="U294" i="16"/>
  <c r="V294" i="16"/>
  <c r="X294" i="16"/>
  <c r="Y294" i="16" s="1"/>
  <c r="AC294" i="16"/>
  <c r="AD294" i="16" s="1"/>
  <c r="AE294" i="16"/>
  <c r="AF294" i="16" s="1"/>
  <c r="T295" i="16"/>
  <c r="U295" i="16" s="1"/>
  <c r="V295" i="16"/>
  <c r="X295" i="16"/>
  <c r="Y295" i="16"/>
  <c r="AC295" i="16"/>
  <c r="AD295" i="16"/>
  <c r="AE295" i="16"/>
  <c r="AF295" i="16"/>
  <c r="T296" i="16"/>
  <c r="V296" i="16"/>
  <c r="W296" i="16" s="1"/>
  <c r="X296" i="16"/>
  <c r="Y296" i="16" s="1"/>
  <c r="AC296" i="16"/>
  <c r="AD296" i="16" s="1"/>
  <c r="AE296" i="16"/>
  <c r="AF296" i="16" s="1"/>
  <c r="T297" i="16"/>
  <c r="V297" i="16"/>
  <c r="W297" i="16"/>
  <c r="X297" i="16"/>
  <c r="Y297" i="16"/>
  <c r="AC297" i="16"/>
  <c r="AD297" i="16"/>
  <c r="AE297" i="16"/>
  <c r="AF297" i="16"/>
  <c r="T298" i="16"/>
  <c r="U298" i="16"/>
  <c r="V298" i="16"/>
  <c r="X298" i="16"/>
  <c r="Y298" i="16" s="1"/>
  <c r="AC298" i="16"/>
  <c r="AD298" i="16" s="1"/>
  <c r="AE298" i="16"/>
  <c r="AF298" i="16" s="1"/>
  <c r="T299" i="16"/>
  <c r="U299" i="16" s="1"/>
  <c r="V299" i="16"/>
  <c r="X299" i="16"/>
  <c r="Y299" i="16"/>
  <c r="AC299" i="16"/>
  <c r="AD299" i="16"/>
  <c r="AE299" i="16"/>
  <c r="AF299" i="16"/>
  <c r="T300" i="16"/>
  <c r="U300" i="16"/>
  <c r="V300" i="16"/>
  <c r="X300" i="16"/>
  <c r="Y300" i="16" s="1"/>
  <c r="AC300" i="16"/>
  <c r="AD300" i="16" s="1"/>
  <c r="AE300" i="16"/>
  <c r="AF300" i="16" s="1"/>
  <c r="T301" i="16"/>
  <c r="U301" i="16" s="1"/>
  <c r="V301" i="16"/>
  <c r="X301" i="16"/>
  <c r="Y301" i="16"/>
  <c r="AC301" i="16"/>
  <c r="AD301" i="16"/>
  <c r="AE301" i="16"/>
  <c r="AF301" i="16"/>
  <c r="T302" i="16"/>
  <c r="U302" i="16"/>
  <c r="V302" i="16"/>
  <c r="X302" i="16"/>
  <c r="Y302" i="16" s="1"/>
  <c r="AC302" i="16"/>
  <c r="AD302" i="16" s="1"/>
  <c r="AE302" i="16"/>
  <c r="AF302" i="16" s="1"/>
  <c r="T303" i="16"/>
  <c r="U303" i="16" s="1"/>
  <c r="V303" i="16"/>
  <c r="X303" i="16"/>
  <c r="Y303" i="16"/>
  <c r="AC303" i="16"/>
  <c r="AD303" i="16"/>
  <c r="AE303" i="16"/>
  <c r="AF303" i="16"/>
  <c r="T304" i="16"/>
  <c r="U304" i="16"/>
  <c r="V304" i="16"/>
  <c r="X304" i="16"/>
  <c r="Y304" i="16" s="1"/>
  <c r="AC304" i="16"/>
  <c r="AD304" i="16" s="1"/>
  <c r="AE304" i="16"/>
  <c r="AF304" i="16" s="1"/>
  <c r="T305" i="16"/>
  <c r="U305" i="16" s="1"/>
  <c r="V305" i="16"/>
  <c r="X305" i="16"/>
  <c r="Y305" i="16"/>
  <c r="AC305" i="16"/>
  <c r="AD305" i="16"/>
  <c r="AE305" i="16"/>
  <c r="AF305" i="16"/>
  <c r="T306" i="16"/>
  <c r="U306" i="16"/>
  <c r="V306" i="16"/>
  <c r="X306" i="16"/>
  <c r="Y306" i="16" s="1"/>
  <c r="AC306" i="16"/>
  <c r="AD306" i="16" s="1"/>
  <c r="AE306" i="16"/>
  <c r="AF306" i="16" s="1"/>
  <c r="T307" i="16"/>
  <c r="U307" i="16" s="1"/>
  <c r="V307" i="16"/>
  <c r="X307" i="16"/>
  <c r="Y307" i="16"/>
  <c r="AC307" i="16"/>
  <c r="AD307" i="16"/>
  <c r="AE307" i="16"/>
  <c r="AF307" i="16"/>
  <c r="T308" i="16"/>
  <c r="U308" i="16"/>
  <c r="V308" i="16"/>
  <c r="X308" i="16"/>
  <c r="Y308" i="16" s="1"/>
  <c r="AC308" i="16"/>
  <c r="AD308" i="16" s="1"/>
  <c r="AE308" i="16"/>
  <c r="AF308" i="16" s="1"/>
  <c r="T309" i="16"/>
  <c r="U309" i="16" s="1"/>
  <c r="V309" i="16"/>
  <c r="X309" i="16"/>
  <c r="Y309" i="16"/>
  <c r="AC309" i="16"/>
  <c r="AD309" i="16"/>
  <c r="AE309" i="16"/>
  <c r="AF309" i="16"/>
  <c r="T310" i="16"/>
  <c r="U310" i="16"/>
  <c r="V310" i="16"/>
  <c r="X310" i="16"/>
  <c r="Y310" i="16" s="1"/>
  <c r="AC310" i="16"/>
  <c r="AD310" i="16" s="1"/>
  <c r="AE310" i="16"/>
  <c r="AF310" i="16" s="1"/>
  <c r="T311" i="16"/>
  <c r="U311" i="16" s="1"/>
  <c r="V311" i="16"/>
  <c r="W311" i="16" s="1"/>
  <c r="X311" i="16"/>
  <c r="Y311" i="16"/>
  <c r="AC311" i="16"/>
  <c r="AD311" i="16"/>
  <c r="AE311" i="16"/>
  <c r="AF311" i="16"/>
  <c r="T312" i="16"/>
  <c r="U312" i="16"/>
  <c r="V312" i="16"/>
  <c r="X312" i="16"/>
  <c r="Y312" i="16" s="1"/>
  <c r="AC312" i="16"/>
  <c r="AD312" i="16" s="1"/>
  <c r="AE312" i="16"/>
  <c r="AF312" i="16" s="1"/>
  <c r="T313" i="16"/>
  <c r="U313" i="16" s="1"/>
  <c r="V313" i="16"/>
  <c r="X313" i="16"/>
  <c r="Y313" i="16"/>
  <c r="AC313" i="16"/>
  <c r="AD313" i="16"/>
  <c r="AE313" i="16"/>
  <c r="AF313" i="16"/>
  <c r="T314" i="16"/>
  <c r="V314" i="16"/>
  <c r="W314" i="16" s="1"/>
  <c r="X314" i="16"/>
  <c r="Y314" i="16" s="1"/>
  <c r="AC314" i="16"/>
  <c r="AD314" i="16" s="1"/>
  <c r="AE314" i="16"/>
  <c r="AF314" i="16" s="1"/>
  <c r="T315" i="16"/>
  <c r="U315" i="16" s="1"/>
  <c r="V315" i="16"/>
  <c r="X315" i="16"/>
  <c r="Y315" i="16"/>
  <c r="AC315" i="16"/>
  <c r="AD315" i="16"/>
  <c r="AE315" i="16"/>
  <c r="AF315" i="16"/>
  <c r="T316" i="16"/>
  <c r="V316" i="16"/>
  <c r="W316" i="16" s="1"/>
  <c r="X316" i="16"/>
  <c r="Y316" i="16" s="1"/>
  <c r="AC316" i="16"/>
  <c r="AD316" i="16" s="1"/>
  <c r="AE316" i="16"/>
  <c r="AF316" i="16" s="1"/>
  <c r="T317" i="16"/>
  <c r="U317" i="16" s="1"/>
  <c r="V317" i="16"/>
  <c r="X317" i="16"/>
  <c r="Y317" i="16"/>
  <c r="AC317" i="16"/>
  <c r="AD317" i="16"/>
  <c r="AE317" i="16"/>
  <c r="AF317" i="16"/>
  <c r="T318" i="16"/>
  <c r="U318" i="16"/>
  <c r="V318" i="16"/>
  <c r="X318" i="16"/>
  <c r="Y318" i="16" s="1"/>
  <c r="AC318" i="16"/>
  <c r="AD318" i="16" s="1"/>
  <c r="AE318" i="16"/>
  <c r="AF318" i="16" s="1"/>
  <c r="T319" i="16"/>
  <c r="U319" i="16" s="1"/>
  <c r="V319" i="16"/>
  <c r="X319" i="16"/>
  <c r="Y319" i="16"/>
  <c r="AC319" i="16"/>
  <c r="AD319" i="16"/>
  <c r="AE319" i="16"/>
  <c r="AF319" i="16"/>
  <c r="T320" i="16"/>
  <c r="U320" i="16"/>
  <c r="V320" i="16"/>
  <c r="X320" i="16"/>
  <c r="Y320" i="16" s="1"/>
  <c r="AC320" i="16"/>
  <c r="AD320" i="16" s="1"/>
  <c r="AE320" i="16"/>
  <c r="AF320" i="16" s="1"/>
  <c r="AE286" i="16"/>
  <c r="AF286" i="16" s="1"/>
  <c r="AC286" i="16"/>
  <c r="AD286" i="16" s="1"/>
  <c r="X286" i="16"/>
  <c r="Y286" i="16" s="1"/>
  <c r="V286" i="16"/>
  <c r="T286" i="16"/>
  <c r="U286" i="16"/>
  <c r="T258" i="16"/>
  <c r="V258" i="16"/>
  <c r="W258" i="16" s="1"/>
  <c r="X258" i="16"/>
  <c r="Y258" i="16" s="1"/>
  <c r="AA258" i="16"/>
  <c r="AB258" i="16" s="1"/>
  <c r="AC258" i="16"/>
  <c r="AD258" i="16" s="1"/>
  <c r="AE258" i="16"/>
  <c r="AF258" i="16" s="1"/>
  <c r="T259" i="16"/>
  <c r="V259" i="16"/>
  <c r="W259" i="16"/>
  <c r="X259" i="16"/>
  <c r="Y259" i="16"/>
  <c r="AA259" i="16"/>
  <c r="AB259" i="16"/>
  <c r="AC259" i="16"/>
  <c r="AD259" i="16"/>
  <c r="AE259" i="16"/>
  <c r="AF259" i="16"/>
  <c r="T260" i="16"/>
  <c r="V260" i="16"/>
  <c r="W260" i="16" s="1"/>
  <c r="X260" i="16"/>
  <c r="Y260" i="16" s="1"/>
  <c r="AA260" i="16"/>
  <c r="AB260" i="16" s="1"/>
  <c r="AC260" i="16"/>
  <c r="AD260" i="16" s="1"/>
  <c r="AE260" i="16"/>
  <c r="AF260" i="16" s="1"/>
  <c r="T261" i="16"/>
  <c r="U261" i="16" s="1"/>
  <c r="V261" i="16"/>
  <c r="X261" i="16"/>
  <c r="Y261" i="16"/>
  <c r="AA261" i="16"/>
  <c r="AB261" i="16"/>
  <c r="AC261" i="16"/>
  <c r="AD261" i="16"/>
  <c r="AE261" i="16"/>
  <c r="AF261" i="16"/>
  <c r="T262" i="16"/>
  <c r="U262" i="16"/>
  <c r="V262" i="16"/>
  <c r="X262" i="16"/>
  <c r="Y262" i="16" s="1"/>
  <c r="AA262" i="16"/>
  <c r="AB262" i="16" s="1"/>
  <c r="AC262" i="16"/>
  <c r="AD262" i="16" s="1"/>
  <c r="AE262" i="16"/>
  <c r="AF262" i="16" s="1"/>
  <c r="T263" i="16"/>
  <c r="U263" i="16" s="1"/>
  <c r="V263" i="16"/>
  <c r="X263" i="16"/>
  <c r="Y263" i="16"/>
  <c r="AA263" i="16"/>
  <c r="AB263" i="16"/>
  <c r="AC263" i="16"/>
  <c r="AD263" i="16"/>
  <c r="AE263" i="16"/>
  <c r="AF263" i="16"/>
  <c r="T264" i="16"/>
  <c r="V264" i="16"/>
  <c r="W264" i="16" s="1"/>
  <c r="X264" i="16"/>
  <c r="Y264" i="16" s="1"/>
  <c r="AA264" i="16"/>
  <c r="AB264" i="16" s="1"/>
  <c r="AC264" i="16"/>
  <c r="AD264" i="16" s="1"/>
  <c r="AE264" i="16"/>
  <c r="AF264" i="16" s="1"/>
  <c r="T265" i="16"/>
  <c r="V265" i="16"/>
  <c r="W265" i="16"/>
  <c r="X265" i="16"/>
  <c r="Y265" i="16"/>
  <c r="AA265" i="16"/>
  <c r="AB265" i="16"/>
  <c r="AC265" i="16"/>
  <c r="AD265" i="16"/>
  <c r="AE265" i="16"/>
  <c r="AF265" i="16"/>
  <c r="T266" i="16"/>
  <c r="V266" i="16"/>
  <c r="W266" i="16" s="1"/>
  <c r="X266" i="16"/>
  <c r="Y266" i="16" s="1"/>
  <c r="AA266" i="16"/>
  <c r="AB266" i="16" s="1"/>
  <c r="AC266" i="16"/>
  <c r="AD266" i="16" s="1"/>
  <c r="AE266" i="16"/>
  <c r="AF266" i="16" s="1"/>
  <c r="T267" i="16"/>
  <c r="V267" i="16"/>
  <c r="W267" i="16"/>
  <c r="X267" i="16"/>
  <c r="Y267" i="16"/>
  <c r="AA267" i="16"/>
  <c r="AB267" i="16"/>
  <c r="AC267" i="16"/>
  <c r="AD267" i="16"/>
  <c r="AE267" i="16"/>
  <c r="AF267" i="16"/>
  <c r="T268" i="16"/>
  <c r="V268" i="16"/>
  <c r="W268" i="16" s="1"/>
  <c r="X268" i="16"/>
  <c r="Y268" i="16" s="1"/>
  <c r="AA268" i="16"/>
  <c r="AB268" i="16" s="1"/>
  <c r="AC268" i="16"/>
  <c r="AD268" i="16" s="1"/>
  <c r="AE268" i="16"/>
  <c r="AF268" i="16" s="1"/>
  <c r="T269" i="16"/>
  <c r="V269" i="16"/>
  <c r="W269" i="16"/>
  <c r="X269" i="16"/>
  <c r="Y269" i="16"/>
  <c r="AA269" i="16"/>
  <c r="AB269" i="16"/>
  <c r="AC269" i="16"/>
  <c r="AD269" i="16"/>
  <c r="AE269" i="16"/>
  <c r="AF269" i="16"/>
  <c r="T270" i="16"/>
  <c r="U270" i="16"/>
  <c r="V270" i="16"/>
  <c r="X270" i="16"/>
  <c r="Y270" i="16" s="1"/>
  <c r="AA270" i="16"/>
  <c r="AB270" i="16" s="1"/>
  <c r="AC270" i="16"/>
  <c r="AD270" i="16" s="1"/>
  <c r="AE270" i="16"/>
  <c r="AF270" i="16" s="1"/>
  <c r="T271" i="16"/>
  <c r="U271" i="16" s="1"/>
  <c r="V271" i="16"/>
  <c r="X271" i="16"/>
  <c r="Y271" i="16"/>
  <c r="AA271" i="16"/>
  <c r="AB271" i="16"/>
  <c r="AC271" i="16"/>
  <c r="AD271" i="16"/>
  <c r="AE271" i="16"/>
  <c r="AF271" i="16"/>
  <c r="T272" i="16"/>
  <c r="V272" i="16"/>
  <c r="W272" i="16" s="1"/>
  <c r="X272" i="16"/>
  <c r="Y272" i="16" s="1"/>
  <c r="AA272" i="16"/>
  <c r="AB272" i="16" s="1"/>
  <c r="AC272" i="16"/>
  <c r="AD272" i="16" s="1"/>
  <c r="AE272" i="16"/>
  <c r="AF272" i="16" s="1"/>
  <c r="T273" i="16"/>
  <c r="V273" i="16"/>
  <c r="W273" i="16"/>
  <c r="X273" i="16"/>
  <c r="Y273" i="16"/>
  <c r="AA273" i="16"/>
  <c r="AB273" i="16"/>
  <c r="AC273" i="16"/>
  <c r="AD273" i="16"/>
  <c r="AE273" i="16"/>
  <c r="AF273" i="16"/>
  <c r="T274" i="16"/>
  <c r="U274" i="16"/>
  <c r="V274" i="16"/>
  <c r="X274" i="16"/>
  <c r="Y274" i="16" s="1"/>
  <c r="AA274" i="16"/>
  <c r="AB274" i="16" s="1"/>
  <c r="AC274" i="16"/>
  <c r="AD274" i="16" s="1"/>
  <c r="AE274" i="16"/>
  <c r="AF274" i="16" s="1"/>
  <c r="T275" i="16"/>
  <c r="V275" i="16"/>
  <c r="W275" i="16"/>
  <c r="X275" i="16"/>
  <c r="Y275" i="16"/>
  <c r="AA275" i="16"/>
  <c r="AB275" i="16"/>
  <c r="AC275" i="16"/>
  <c r="AD275" i="16"/>
  <c r="AE275" i="16"/>
  <c r="AF275" i="16"/>
  <c r="T276" i="16"/>
  <c r="V276" i="16"/>
  <c r="W276" i="16" s="1"/>
  <c r="X276" i="16"/>
  <c r="Y276" i="16" s="1"/>
  <c r="AA276" i="16"/>
  <c r="AB276" i="16" s="1"/>
  <c r="AC276" i="16"/>
  <c r="AD276" i="16" s="1"/>
  <c r="AE276" i="16"/>
  <c r="AF276" i="16" s="1"/>
  <c r="T277" i="16"/>
  <c r="V277" i="16"/>
  <c r="W277" i="16"/>
  <c r="X277" i="16"/>
  <c r="Y277" i="16"/>
  <c r="AA277" i="16"/>
  <c r="AB277" i="16"/>
  <c r="AC277" i="16"/>
  <c r="AD277" i="16"/>
  <c r="AE277" i="16"/>
  <c r="AF277" i="16"/>
  <c r="T278" i="16"/>
  <c r="U278" i="16"/>
  <c r="V278" i="16"/>
  <c r="X278" i="16"/>
  <c r="Y278" i="16" s="1"/>
  <c r="AA278" i="16"/>
  <c r="AB278" i="16" s="1"/>
  <c r="AC278" i="16"/>
  <c r="AD278" i="16" s="1"/>
  <c r="AE278" i="16"/>
  <c r="AF278" i="16" s="1"/>
  <c r="T279" i="16"/>
  <c r="V279" i="16"/>
  <c r="W279" i="16"/>
  <c r="X279" i="16"/>
  <c r="Y279" i="16"/>
  <c r="AA279" i="16"/>
  <c r="AB279" i="16"/>
  <c r="AC279" i="16"/>
  <c r="AD279" i="16"/>
  <c r="AE279" i="16"/>
  <c r="AF279" i="16"/>
  <c r="T280" i="16"/>
  <c r="V280" i="16"/>
  <c r="W280" i="16" s="1"/>
  <c r="X280" i="16"/>
  <c r="Y280" i="16" s="1"/>
  <c r="AA280" i="16"/>
  <c r="AB280" i="16" s="1"/>
  <c r="AC280" i="16"/>
  <c r="AD280" i="16" s="1"/>
  <c r="AE280" i="16"/>
  <c r="AF280" i="16" s="1"/>
  <c r="T281" i="16"/>
  <c r="V281" i="16"/>
  <c r="W281" i="16"/>
  <c r="X281" i="16"/>
  <c r="Y281" i="16"/>
  <c r="AA281" i="16"/>
  <c r="AB281" i="16"/>
  <c r="AC281" i="16"/>
  <c r="AD281" i="16"/>
  <c r="AE281" i="16"/>
  <c r="AF281" i="16"/>
  <c r="T282" i="16"/>
  <c r="V282" i="16"/>
  <c r="W282" i="16" s="1"/>
  <c r="X282" i="16"/>
  <c r="Y282" i="16" s="1"/>
  <c r="AA282" i="16"/>
  <c r="AB282" i="16" s="1"/>
  <c r="AC282" i="16"/>
  <c r="AD282" i="16" s="1"/>
  <c r="AE282" i="16"/>
  <c r="AF282" i="16" s="1"/>
  <c r="T283" i="16"/>
  <c r="U283" i="16" s="1"/>
  <c r="V283" i="16"/>
  <c r="W283" i="16"/>
  <c r="X283" i="16"/>
  <c r="Y283" i="16"/>
  <c r="AA283" i="16"/>
  <c r="AB283" i="16"/>
  <c r="AC283" i="16"/>
  <c r="AD283" i="16"/>
  <c r="AE283" i="16"/>
  <c r="AF283" i="16"/>
  <c r="AE257" i="16"/>
  <c r="AF257" i="16"/>
  <c r="AC257" i="16"/>
  <c r="AD257" i="16"/>
  <c r="AA257" i="16"/>
  <c r="AB257" i="16"/>
  <c r="AB256" i="16" s="1"/>
  <c r="X257" i="16"/>
  <c r="Y257" i="16"/>
  <c r="V257" i="16"/>
  <c r="W257" i="16"/>
  <c r="T257" i="16"/>
  <c r="T226" i="16"/>
  <c r="V226" i="16"/>
  <c r="W226" i="16"/>
  <c r="X226" i="16"/>
  <c r="Y226" i="16"/>
  <c r="AA226" i="16"/>
  <c r="AB226" i="16"/>
  <c r="AC226" i="16"/>
  <c r="AD226" i="16"/>
  <c r="AE226" i="16"/>
  <c r="AF226" i="16"/>
  <c r="T227" i="16"/>
  <c r="U227" i="16"/>
  <c r="V227" i="16"/>
  <c r="X227" i="16"/>
  <c r="Y227" i="16" s="1"/>
  <c r="AA227" i="16"/>
  <c r="AB227" i="16" s="1"/>
  <c r="AC227" i="16"/>
  <c r="AD227" i="16" s="1"/>
  <c r="AE227" i="16"/>
  <c r="AF227" i="16" s="1"/>
  <c r="T228" i="16"/>
  <c r="V228" i="16"/>
  <c r="W228" i="16"/>
  <c r="X228" i="16"/>
  <c r="Y228" i="16"/>
  <c r="AA228" i="16"/>
  <c r="AC228" i="16"/>
  <c r="AD228" i="16" s="1"/>
  <c r="AE228" i="16"/>
  <c r="AF228" i="16" s="1"/>
  <c r="T229" i="16"/>
  <c r="U229" i="16" s="1"/>
  <c r="V229" i="16"/>
  <c r="X229" i="16"/>
  <c r="Y229" i="16"/>
  <c r="AA229" i="16"/>
  <c r="AB229" i="16"/>
  <c r="AC229" i="16"/>
  <c r="AD229" i="16"/>
  <c r="AE229" i="16"/>
  <c r="AF229" i="16"/>
  <c r="T230" i="16"/>
  <c r="U230" i="16"/>
  <c r="V230" i="16"/>
  <c r="X230" i="16"/>
  <c r="Y230" i="16" s="1"/>
  <c r="AA230" i="16"/>
  <c r="AB230" i="16" s="1"/>
  <c r="AC230" i="16"/>
  <c r="AD230" i="16" s="1"/>
  <c r="AE230" i="16"/>
  <c r="AF230" i="16" s="1"/>
  <c r="T231" i="16"/>
  <c r="U231" i="16" s="1"/>
  <c r="V231" i="16"/>
  <c r="X231" i="16"/>
  <c r="Y231" i="16"/>
  <c r="AA231" i="16"/>
  <c r="AB231" i="16"/>
  <c r="AC231" i="16"/>
  <c r="AD231" i="16"/>
  <c r="AC225" i="16"/>
  <c r="AD225" i="16"/>
  <c r="AC232" i="16"/>
  <c r="AD232" i="16"/>
  <c r="AC233" i="16"/>
  <c r="AD233" i="16"/>
  <c r="AC234" i="16"/>
  <c r="AD234" i="16"/>
  <c r="AC235" i="16"/>
  <c r="AD235" i="16"/>
  <c r="AC236" i="16"/>
  <c r="AD236" i="16"/>
  <c r="AC237" i="16"/>
  <c r="AD237" i="16"/>
  <c r="AC238" i="16"/>
  <c r="AD238" i="16"/>
  <c r="AC239" i="16"/>
  <c r="AD239" i="16"/>
  <c r="AC240" i="16"/>
  <c r="AD240" i="16"/>
  <c r="AC241" i="16"/>
  <c r="AD241" i="16"/>
  <c r="AC242" i="16"/>
  <c r="AD242" i="16"/>
  <c r="AC243" i="16"/>
  <c r="AD243" i="16"/>
  <c r="AC244" i="16"/>
  <c r="AD244" i="16"/>
  <c r="AC245" i="16"/>
  <c r="AD245" i="16"/>
  <c r="AC246" i="16"/>
  <c r="AD246" i="16"/>
  <c r="AC247" i="16"/>
  <c r="AD247" i="16"/>
  <c r="AC248" i="16"/>
  <c r="AD248" i="16"/>
  <c r="AC249" i="16"/>
  <c r="AD249" i="16"/>
  <c r="AC250" i="16"/>
  <c r="AD250" i="16"/>
  <c r="AC251" i="16"/>
  <c r="AD251" i="16"/>
  <c r="AC252" i="16"/>
  <c r="AD252" i="16"/>
  <c r="AC253" i="16"/>
  <c r="AD253" i="16"/>
  <c r="AC254" i="16"/>
  <c r="AD254" i="16"/>
  <c r="AE231" i="16"/>
  <c r="AF231" i="16" s="1"/>
  <c r="T232" i="16"/>
  <c r="U232" i="16" s="1"/>
  <c r="V232" i="16"/>
  <c r="X232" i="16"/>
  <c r="Y232" i="16"/>
  <c r="AA232" i="16"/>
  <c r="AB232" i="16"/>
  <c r="AE232" i="16"/>
  <c r="AF232" i="16"/>
  <c r="T233" i="16"/>
  <c r="V233" i="16"/>
  <c r="W233" i="16" s="1"/>
  <c r="X233" i="16"/>
  <c r="Y233" i="16" s="1"/>
  <c r="AA233" i="16"/>
  <c r="AB233" i="16" s="1"/>
  <c r="AE233" i="16"/>
  <c r="AF233" i="16" s="1"/>
  <c r="T234" i="16"/>
  <c r="V234" i="16"/>
  <c r="W234" i="16"/>
  <c r="X234" i="16"/>
  <c r="Y234" i="16"/>
  <c r="AA234" i="16"/>
  <c r="AB234" i="16"/>
  <c r="AE234" i="16"/>
  <c r="AF234" i="16"/>
  <c r="T235" i="16"/>
  <c r="V235" i="16"/>
  <c r="W235" i="16" s="1"/>
  <c r="X235" i="16"/>
  <c r="Y235" i="16" s="1"/>
  <c r="AA235" i="16"/>
  <c r="AB235" i="16" s="1"/>
  <c r="AE235" i="16"/>
  <c r="AF235" i="16" s="1"/>
  <c r="T236" i="16"/>
  <c r="V236" i="16"/>
  <c r="W236" i="16"/>
  <c r="X236" i="16"/>
  <c r="Y236" i="16"/>
  <c r="AA236" i="16"/>
  <c r="AB236" i="16"/>
  <c r="AE236" i="16"/>
  <c r="AF236" i="16"/>
  <c r="T237" i="16"/>
  <c r="V237" i="16"/>
  <c r="W237" i="16" s="1"/>
  <c r="X237" i="16"/>
  <c r="Y237" i="16" s="1"/>
  <c r="AA237" i="16"/>
  <c r="AB237" i="16" s="1"/>
  <c r="AE237" i="16"/>
  <c r="AF237" i="16" s="1"/>
  <c r="T238" i="16"/>
  <c r="V238" i="16"/>
  <c r="W238" i="16"/>
  <c r="X238" i="16"/>
  <c r="Y238" i="16"/>
  <c r="AA238" i="16"/>
  <c r="AB238" i="16"/>
  <c r="AE238" i="16"/>
  <c r="AF238" i="16"/>
  <c r="T239" i="16"/>
  <c r="V239" i="16"/>
  <c r="W239" i="16" s="1"/>
  <c r="X239" i="16"/>
  <c r="Y239" i="16" s="1"/>
  <c r="AA239" i="16"/>
  <c r="AB239" i="16" s="1"/>
  <c r="AE239" i="16"/>
  <c r="AF239" i="16" s="1"/>
  <c r="T240" i="16"/>
  <c r="V240" i="16"/>
  <c r="W240" i="16"/>
  <c r="X240" i="16"/>
  <c r="Y240" i="16"/>
  <c r="AA240" i="16"/>
  <c r="AB240" i="16"/>
  <c r="AE240" i="16"/>
  <c r="AF240" i="16"/>
  <c r="T241" i="16"/>
  <c r="V241" i="16"/>
  <c r="W241" i="16" s="1"/>
  <c r="X241" i="16"/>
  <c r="Y241" i="16" s="1"/>
  <c r="AA241" i="16"/>
  <c r="AB241" i="16" s="1"/>
  <c r="AE241" i="16"/>
  <c r="AF241" i="16" s="1"/>
  <c r="T242" i="16"/>
  <c r="V242" i="16"/>
  <c r="W242" i="16"/>
  <c r="X242" i="16"/>
  <c r="Y242" i="16"/>
  <c r="AA242" i="16"/>
  <c r="AB242" i="16"/>
  <c r="AE242" i="16"/>
  <c r="AF242" i="16"/>
  <c r="T243" i="16"/>
  <c r="V243" i="16"/>
  <c r="W243" i="16" s="1"/>
  <c r="X243" i="16"/>
  <c r="Y243" i="16" s="1"/>
  <c r="AA243" i="16"/>
  <c r="AB243" i="16" s="1"/>
  <c r="AE243" i="16"/>
  <c r="AF243" i="16" s="1"/>
  <c r="T244" i="16"/>
  <c r="V244" i="16"/>
  <c r="W244" i="16"/>
  <c r="X244" i="16"/>
  <c r="Y244" i="16"/>
  <c r="AA244" i="16"/>
  <c r="AB244" i="16"/>
  <c r="AE244" i="16"/>
  <c r="AF244" i="16"/>
  <c r="T245" i="16"/>
  <c r="V245" i="16"/>
  <c r="W245" i="16" s="1"/>
  <c r="X245" i="16"/>
  <c r="Y245" i="16" s="1"/>
  <c r="AA245" i="16"/>
  <c r="AB245" i="16" s="1"/>
  <c r="AE245" i="16"/>
  <c r="AF245" i="16" s="1"/>
  <c r="T246" i="16"/>
  <c r="V246" i="16"/>
  <c r="W246" i="16"/>
  <c r="X246" i="16"/>
  <c r="Y246" i="16"/>
  <c r="AA246" i="16"/>
  <c r="AB246" i="16"/>
  <c r="AE246" i="16"/>
  <c r="AF246" i="16"/>
  <c r="T247" i="16"/>
  <c r="V247" i="16"/>
  <c r="W247" i="16" s="1"/>
  <c r="X247" i="16"/>
  <c r="Y247" i="16" s="1"/>
  <c r="AA247" i="16"/>
  <c r="AB247" i="16" s="1"/>
  <c r="AE247" i="16"/>
  <c r="AF247" i="16" s="1"/>
  <c r="T248" i="16"/>
  <c r="V248" i="16"/>
  <c r="W248" i="16"/>
  <c r="X248" i="16"/>
  <c r="Y248" i="16"/>
  <c r="AA248" i="16"/>
  <c r="AB248" i="16"/>
  <c r="AE248" i="16"/>
  <c r="AF248" i="16"/>
  <c r="T249" i="16"/>
  <c r="V249" i="16"/>
  <c r="W249" i="16" s="1"/>
  <c r="X249" i="16"/>
  <c r="Y249" i="16" s="1"/>
  <c r="AA249" i="16"/>
  <c r="AB249" i="16" s="1"/>
  <c r="AE249" i="16"/>
  <c r="AF249" i="16" s="1"/>
  <c r="T250" i="16"/>
  <c r="U250" i="16" s="1"/>
  <c r="V250" i="16"/>
  <c r="X250" i="16"/>
  <c r="Y250" i="16"/>
  <c r="AA250" i="16"/>
  <c r="AB250" i="16"/>
  <c r="AE250" i="16"/>
  <c r="AF250" i="16"/>
  <c r="T251" i="16"/>
  <c r="V251" i="16"/>
  <c r="W251" i="16" s="1"/>
  <c r="X251" i="16"/>
  <c r="Y251" i="16" s="1"/>
  <c r="AA251" i="16"/>
  <c r="AB251" i="16" s="1"/>
  <c r="AE251" i="16"/>
  <c r="AF251" i="16" s="1"/>
  <c r="T252" i="16"/>
  <c r="V252" i="16"/>
  <c r="W252" i="16"/>
  <c r="X252" i="16"/>
  <c r="Y252" i="16"/>
  <c r="AA252" i="16"/>
  <c r="AB252" i="16"/>
  <c r="AE252" i="16"/>
  <c r="AF252" i="16"/>
  <c r="T253" i="16"/>
  <c r="V253" i="16"/>
  <c r="W253" i="16" s="1"/>
  <c r="X253" i="16"/>
  <c r="Y253" i="16" s="1"/>
  <c r="AA253" i="16"/>
  <c r="AB253" i="16" s="1"/>
  <c r="AE253" i="16"/>
  <c r="AF253" i="16" s="1"/>
  <c r="T254" i="16"/>
  <c r="V254" i="16"/>
  <c r="W254" i="16"/>
  <c r="X254" i="16"/>
  <c r="Y254" i="16"/>
  <c r="AA254" i="16"/>
  <c r="AB254" i="16"/>
  <c r="AE254" i="16"/>
  <c r="AF254" i="16"/>
  <c r="AE225" i="16"/>
  <c r="AF225" i="16"/>
  <c r="AA225" i="16"/>
  <c r="AB225" i="16"/>
  <c r="X225" i="16"/>
  <c r="Y225" i="16"/>
  <c r="V225" i="16"/>
  <c r="W225" i="16"/>
  <c r="T225" i="16"/>
  <c r="T190" i="16"/>
  <c r="V190" i="16"/>
  <c r="W190" i="16"/>
  <c r="X190" i="16"/>
  <c r="Y190" i="16"/>
  <c r="AA190" i="16"/>
  <c r="AB190" i="16"/>
  <c r="AC190" i="16"/>
  <c r="AD190" i="16"/>
  <c r="AE190" i="16"/>
  <c r="AF190" i="16"/>
  <c r="T191" i="16"/>
  <c r="V191" i="16"/>
  <c r="W191" i="16" s="1"/>
  <c r="X191" i="16"/>
  <c r="Y191" i="16" s="1"/>
  <c r="AA191" i="16"/>
  <c r="AB191" i="16" s="1"/>
  <c r="AC191" i="16"/>
  <c r="AD191" i="16" s="1"/>
  <c r="AE191" i="16"/>
  <c r="AF191" i="16" s="1"/>
  <c r="AE189" i="16"/>
  <c r="AF189" i="16" s="1"/>
  <c r="AE192" i="16"/>
  <c r="AF192" i="16" s="1"/>
  <c r="AE193" i="16"/>
  <c r="AF193" i="16" s="1"/>
  <c r="AE194" i="16"/>
  <c r="AF194" i="16" s="1"/>
  <c r="AE195" i="16"/>
  <c r="AF195" i="16" s="1"/>
  <c r="AE196" i="16"/>
  <c r="AF196" i="16" s="1"/>
  <c r="AE197" i="16"/>
  <c r="AF197" i="16" s="1"/>
  <c r="AE198" i="16"/>
  <c r="AF198" i="16" s="1"/>
  <c r="AE199" i="16"/>
  <c r="AF199" i="16" s="1"/>
  <c r="AE200" i="16"/>
  <c r="AF200" i="16" s="1"/>
  <c r="AE201" i="16"/>
  <c r="AF201" i="16" s="1"/>
  <c r="AE202" i="16"/>
  <c r="AF202" i="16" s="1"/>
  <c r="AE203" i="16"/>
  <c r="AF203" i="16" s="1"/>
  <c r="AE204" i="16"/>
  <c r="AF204" i="16" s="1"/>
  <c r="AE205" i="16"/>
  <c r="AF205" i="16" s="1"/>
  <c r="AE206" i="16"/>
  <c r="AF206" i="16" s="1"/>
  <c r="AE207" i="16"/>
  <c r="AF207" i="16" s="1"/>
  <c r="AE208" i="16"/>
  <c r="AF208" i="16" s="1"/>
  <c r="AE209" i="16"/>
  <c r="AF209" i="16"/>
  <c r="AE210" i="16"/>
  <c r="AF210" i="16" s="1"/>
  <c r="AE211" i="16"/>
  <c r="AF211" i="16" s="1"/>
  <c r="AE212" i="16"/>
  <c r="AF212" i="16" s="1"/>
  <c r="AE213" i="16"/>
  <c r="AF213" i="16"/>
  <c r="AE214" i="16"/>
  <c r="AF214" i="16" s="1"/>
  <c r="AE215" i="16"/>
  <c r="AF215" i="16" s="1"/>
  <c r="AE216" i="16"/>
  <c r="AF216" i="16" s="1"/>
  <c r="AE217" i="16"/>
  <c r="AF217" i="16"/>
  <c r="AE218" i="16"/>
  <c r="AF218" i="16" s="1"/>
  <c r="AE219" i="16"/>
  <c r="AF219" i="16" s="1"/>
  <c r="AE220" i="16"/>
  <c r="AF220" i="16" s="1"/>
  <c r="AE221" i="16"/>
  <c r="AF221" i="16"/>
  <c r="AE222" i="16"/>
  <c r="AF222" i="16" s="1"/>
  <c r="T192" i="16"/>
  <c r="V192" i="16"/>
  <c r="W192" i="16" s="1"/>
  <c r="X192" i="16"/>
  <c r="Y192" i="16"/>
  <c r="AA192" i="16"/>
  <c r="AB192" i="16" s="1"/>
  <c r="AC192" i="16"/>
  <c r="AD192" i="16" s="1"/>
  <c r="T193" i="16"/>
  <c r="V193" i="16"/>
  <c r="W193" i="16"/>
  <c r="X193" i="16"/>
  <c r="Y193" i="16"/>
  <c r="AA193" i="16"/>
  <c r="AB193" i="16"/>
  <c r="AC193" i="16"/>
  <c r="AD193" i="16"/>
  <c r="T194" i="16"/>
  <c r="V194" i="16"/>
  <c r="W194" i="16" s="1"/>
  <c r="X194" i="16"/>
  <c r="Y194" i="16" s="1"/>
  <c r="AA194" i="16"/>
  <c r="AB194" i="16"/>
  <c r="AC194" i="16"/>
  <c r="AD194" i="16" s="1"/>
  <c r="T195" i="16"/>
  <c r="U195" i="16" s="1"/>
  <c r="V195" i="16"/>
  <c r="W195" i="16"/>
  <c r="X195" i="16"/>
  <c r="Y195" i="16"/>
  <c r="AA195" i="16"/>
  <c r="AB195" i="16"/>
  <c r="AC195" i="16"/>
  <c r="AD195" i="16"/>
  <c r="T196" i="16"/>
  <c r="V196" i="16"/>
  <c r="W196" i="16" s="1"/>
  <c r="X196" i="16"/>
  <c r="Y196" i="16"/>
  <c r="AA196" i="16"/>
  <c r="AB196" i="16" s="1"/>
  <c r="AC196" i="16"/>
  <c r="AD196" i="16" s="1"/>
  <c r="T197" i="16"/>
  <c r="V197" i="16"/>
  <c r="W197" i="16"/>
  <c r="X197" i="16"/>
  <c r="Y197" i="16"/>
  <c r="AA197" i="16"/>
  <c r="AB197" i="16"/>
  <c r="AC197" i="16"/>
  <c r="AD197" i="16"/>
  <c r="T198" i="16"/>
  <c r="V198" i="16"/>
  <c r="W198" i="16" s="1"/>
  <c r="X198" i="16"/>
  <c r="Y198" i="16" s="1"/>
  <c r="AA198" i="16"/>
  <c r="AB198" i="16"/>
  <c r="AC198" i="16"/>
  <c r="AD198" i="16" s="1"/>
  <c r="T199" i="16"/>
  <c r="V199" i="16"/>
  <c r="W199" i="16"/>
  <c r="X199" i="16"/>
  <c r="Y199" i="16"/>
  <c r="AA199" i="16"/>
  <c r="AB199" i="16"/>
  <c r="AC199" i="16"/>
  <c r="AD199" i="16"/>
  <c r="T200" i="16"/>
  <c r="V200" i="16"/>
  <c r="W200" i="16" s="1"/>
  <c r="X200" i="16"/>
  <c r="Y200" i="16"/>
  <c r="AA200" i="16"/>
  <c r="AB200" i="16" s="1"/>
  <c r="AC200" i="16"/>
  <c r="AD200" i="16" s="1"/>
  <c r="T201" i="16"/>
  <c r="V201" i="16"/>
  <c r="W201" i="16"/>
  <c r="X201" i="16"/>
  <c r="Y201" i="16"/>
  <c r="AA201" i="16"/>
  <c r="AB201" i="16"/>
  <c r="AC201" i="16"/>
  <c r="AD201" i="16"/>
  <c r="T202" i="16"/>
  <c r="V202" i="16"/>
  <c r="W202" i="16" s="1"/>
  <c r="X202" i="16"/>
  <c r="Y202" i="16" s="1"/>
  <c r="AA202" i="16"/>
  <c r="AB202" i="16"/>
  <c r="AC202" i="16"/>
  <c r="AD202" i="16" s="1"/>
  <c r="T203" i="16"/>
  <c r="V203" i="16"/>
  <c r="W203" i="16"/>
  <c r="X203" i="16"/>
  <c r="Y203" i="16"/>
  <c r="AA203" i="16"/>
  <c r="AB203" i="16"/>
  <c r="AC203" i="16"/>
  <c r="AD203" i="16"/>
  <c r="T204" i="16"/>
  <c r="V204" i="16"/>
  <c r="W204" i="16" s="1"/>
  <c r="X204" i="16"/>
  <c r="Y204" i="16"/>
  <c r="AA204" i="16"/>
  <c r="AB204" i="16" s="1"/>
  <c r="AC204" i="16"/>
  <c r="AD204" i="16" s="1"/>
  <c r="T205" i="16"/>
  <c r="V205" i="16"/>
  <c r="W205" i="16"/>
  <c r="X205" i="16"/>
  <c r="Y205" i="16"/>
  <c r="AA205" i="16"/>
  <c r="AB205" i="16"/>
  <c r="AC205" i="16"/>
  <c r="AD205" i="16"/>
  <c r="T206" i="16"/>
  <c r="V206" i="16"/>
  <c r="W206" i="16" s="1"/>
  <c r="X206" i="16"/>
  <c r="Y206" i="16" s="1"/>
  <c r="AA206" i="16"/>
  <c r="AB206" i="16"/>
  <c r="AC206" i="16"/>
  <c r="AD206" i="16" s="1"/>
  <c r="T207" i="16"/>
  <c r="V207" i="16"/>
  <c r="W207" i="16"/>
  <c r="X207" i="16"/>
  <c r="Y207" i="16"/>
  <c r="AA207" i="16"/>
  <c r="AB207" i="16"/>
  <c r="AC207" i="16"/>
  <c r="AD207" i="16"/>
  <c r="T208" i="16"/>
  <c r="V208" i="16"/>
  <c r="W208" i="16" s="1"/>
  <c r="X208" i="16"/>
  <c r="Y208" i="16"/>
  <c r="AA208" i="16"/>
  <c r="AB208" i="16" s="1"/>
  <c r="AC208" i="16"/>
  <c r="AD208" i="16" s="1"/>
  <c r="T209" i="16"/>
  <c r="V209" i="16"/>
  <c r="W209" i="16"/>
  <c r="X209" i="16"/>
  <c r="Y209" i="16"/>
  <c r="AA209" i="16"/>
  <c r="AB209" i="16"/>
  <c r="AC209" i="16"/>
  <c r="AD209" i="16"/>
  <c r="T210" i="16"/>
  <c r="V210" i="16"/>
  <c r="W210" i="16" s="1"/>
  <c r="X210" i="16"/>
  <c r="Y210" i="16" s="1"/>
  <c r="AA210" i="16"/>
  <c r="AB210" i="16"/>
  <c r="AC210" i="16"/>
  <c r="AD210" i="16" s="1"/>
  <c r="T211" i="16"/>
  <c r="V211" i="16"/>
  <c r="W211" i="16"/>
  <c r="X211" i="16"/>
  <c r="Y211" i="16"/>
  <c r="AA211" i="16"/>
  <c r="AB211" i="16"/>
  <c r="AC211" i="16"/>
  <c r="AD211" i="16"/>
  <c r="T212" i="16"/>
  <c r="V212" i="16"/>
  <c r="W212" i="16" s="1"/>
  <c r="X212" i="16"/>
  <c r="Y212" i="16"/>
  <c r="AA212" i="16"/>
  <c r="AB212" i="16" s="1"/>
  <c r="AC212" i="16"/>
  <c r="AD212" i="16" s="1"/>
  <c r="T213" i="16"/>
  <c r="V213" i="16"/>
  <c r="W213" i="16"/>
  <c r="X213" i="16"/>
  <c r="Y213" i="16"/>
  <c r="AA213" i="16"/>
  <c r="AB213" i="16"/>
  <c r="AC213" i="16"/>
  <c r="AD213" i="16"/>
  <c r="T214" i="16"/>
  <c r="V214" i="16"/>
  <c r="W214" i="16" s="1"/>
  <c r="X214" i="16"/>
  <c r="Y214" i="16" s="1"/>
  <c r="AA214" i="16"/>
  <c r="AB214" i="16"/>
  <c r="AC214" i="16"/>
  <c r="AD214" i="16" s="1"/>
  <c r="T215" i="16"/>
  <c r="V215" i="16"/>
  <c r="W215" i="16"/>
  <c r="X215" i="16"/>
  <c r="Y215" i="16"/>
  <c r="AA215" i="16"/>
  <c r="AB215" i="16"/>
  <c r="AC215" i="16"/>
  <c r="AD215" i="16"/>
  <c r="T216" i="16"/>
  <c r="V216" i="16"/>
  <c r="W216" i="16" s="1"/>
  <c r="X216" i="16"/>
  <c r="Y216" i="16"/>
  <c r="AA216" i="16"/>
  <c r="AB216" i="16" s="1"/>
  <c r="AC216" i="16"/>
  <c r="AD216" i="16" s="1"/>
  <c r="T217" i="16"/>
  <c r="V217" i="16"/>
  <c r="W217" i="16"/>
  <c r="X217" i="16"/>
  <c r="Y217" i="16"/>
  <c r="AA217" i="16"/>
  <c r="AB217" i="16"/>
  <c r="AC217" i="16"/>
  <c r="AD217" i="16"/>
  <c r="T218" i="16"/>
  <c r="V218" i="16"/>
  <c r="W218" i="16" s="1"/>
  <c r="X218" i="16"/>
  <c r="Y218" i="16" s="1"/>
  <c r="AA218" i="16"/>
  <c r="AB218" i="16"/>
  <c r="AC218" i="16"/>
  <c r="AD218" i="16" s="1"/>
  <c r="T219" i="16"/>
  <c r="V219" i="16"/>
  <c r="W219" i="16"/>
  <c r="X219" i="16"/>
  <c r="Y219" i="16"/>
  <c r="AA219" i="16"/>
  <c r="AB219" i="16"/>
  <c r="AC219" i="16"/>
  <c r="AD219" i="16"/>
  <c r="T220" i="16"/>
  <c r="V220" i="16"/>
  <c r="W220" i="16" s="1"/>
  <c r="X220" i="16"/>
  <c r="Y220" i="16"/>
  <c r="AA220" i="16"/>
  <c r="AB220" i="16" s="1"/>
  <c r="AC220" i="16"/>
  <c r="AD220" i="16" s="1"/>
  <c r="T221" i="16"/>
  <c r="V221" i="16"/>
  <c r="W221" i="16"/>
  <c r="X221" i="16"/>
  <c r="Y221" i="16"/>
  <c r="AA221" i="16"/>
  <c r="AB221" i="16"/>
  <c r="AC221" i="16"/>
  <c r="AD221" i="16"/>
  <c r="T222" i="16"/>
  <c r="V222" i="16"/>
  <c r="W222" i="16" s="1"/>
  <c r="X222" i="16"/>
  <c r="Y222" i="16" s="1"/>
  <c r="AA222" i="16"/>
  <c r="AB222" i="16"/>
  <c r="AC222" i="16"/>
  <c r="AD222" i="16" s="1"/>
  <c r="AC189" i="16"/>
  <c r="AD189" i="16" s="1"/>
  <c r="AA189" i="16"/>
  <c r="AB189" i="16" s="1"/>
  <c r="X189" i="16"/>
  <c r="V189" i="16"/>
  <c r="W189" i="16" s="1"/>
  <c r="T189" i="16"/>
  <c r="U189" i="16"/>
  <c r="T131" i="16"/>
  <c r="U131" i="16" s="1"/>
  <c r="V131" i="16"/>
  <c r="W131" i="16" s="1"/>
  <c r="X131" i="16"/>
  <c r="Y131" i="16" s="1"/>
  <c r="AA131" i="16"/>
  <c r="AB131" i="16" s="1"/>
  <c r="AC131" i="16"/>
  <c r="AD131" i="16"/>
  <c r="AE131" i="16"/>
  <c r="AF131" i="16" s="1"/>
  <c r="T132" i="16"/>
  <c r="U132" i="16" s="1"/>
  <c r="V132" i="16"/>
  <c r="W132" i="16"/>
  <c r="X132" i="16"/>
  <c r="Y132" i="16"/>
  <c r="AA132" i="16"/>
  <c r="AB132" i="16"/>
  <c r="AC132" i="16"/>
  <c r="AD132" i="16"/>
  <c r="AE132" i="16"/>
  <c r="AF132" i="16"/>
  <c r="T133" i="16"/>
  <c r="V133" i="16"/>
  <c r="W133" i="16" s="1"/>
  <c r="X133" i="16"/>
  <c r="Y133" i="16" s="1"/>
  <c r="AA133" i="16"/>
  <c r="AB133" i="16"/>
  <c r="AC133" i="16"/>
  <c r="AD133" i="16" s="1"/>
  <c r="AE133" i="16"/>
  <c r="AF133" i="16" s="1"/>
  <c r="T134" i="16"/>
  <c r="V134" i="16"/>
  <c r="W134" i="16"/>
  <c r="X134" i="16"/>
  <c r="Y134" i="16"/>
  <c r="AA134" i="16"/>
  <c r="AB134" i="16"/>
  <c r="AC134" i="16"/>
  <c r="AD134" i="16"/>
  <c r="AE134" i="16"/>
  <c r="AF134" i="16"/>
  <c r="T135" i="16"/>
  <c r="V135" i="16"/>
  <c r="W135" i="16" s="1"/>
  <c r="X135" i="16"/>
  <c r="Y135" i="16"/>
  <c r="AA135" i="16"/>
  <c r="AB135" i="16" s="1"/>
  <c r="AC135" i="16"/>
  <c r="AD135" i="16" s="1"/>
  <c r="AE135" i="16"/>
  <c r="AF135" i="16" s="1"/>
  <c r="T136" i="16"/>
  <c r="V136" i="16"/>
  <c r="W136" i="16" s="1"/>
  <c r="X136" i="16"/>
  <c r="Y136" i="16"/>
  <c r="AA136" i="16"/>
  <c r="AB136" i="16" s="1"/>
  <c r="AC136" i="16"/>
  <c r="AD136" i="16"/>
  <c r="AE136" i="16"/>
  <c r="AF136" i="16" s="1"/>
  <c r="T137" i="16"/>
  <c r="V137" i="16"/>
  <c r="W137" i="16"/>
  <c r="X137" i="16"/>
  <c r="Y137" i="16" s="1"/>
  <c r="AA137" i="16"/>
  <c r="AB137" i="16" s="1"/>
  <c r="AC137" i="16"/>
  <c r="AD137" i="16" s="1"/>
  <c r="AE137" i="16"/>
  <c r="AF137" i="16"/>
  <c r="T138" i="16"/>
  <c r="V138" i="16"/>
  <c r="W138" i="16"/>
  <c r="X138" i="16"/>
  <c r="Y138" i="16" s="1"/>
  <c r="AA138" i="16"/>
  <c r="AB138" i="16"/>
  <c r="AC138" i="16"/>
  <c r="AD138" i="16" s="1"/>
  <c r="AE138" i="16"/>
  <c r="AF138" i="16"/>
  <c r="T139" i="16"/>
  <c r="V139" i="16"/>
  <c r="W139" i="16" s="1"/>
  <c r="X139" i="16"/>
  <c r="Y139" i="16" s="1"/>
  <c r="AA139" i="16"/>
  <c r="AB139" i="16" s="1"/>
  <c r="AC139" i="16"/>
  <c r="AD139" i="16"/>
  <c r="AE139" i="16"/>
  <c r="AF139" i="16" s="1"/>
  <c r="T140" i="16"/>
  <c r="V140" i="16"/>
  <c r="W140" i="16"/>
  <c r="X140" i="16"/>
  <c r="Y140" i="16"/>
  <c r="AA140" i="16"/>
  <c r="AB140" i="16"/>
  <c r="AC140" i="16"/>
  <c r="AD140" i="16"/>
  <c r="AE140" i="16"/>
  <c r="AF140" i="16"/>
  <c r="T141" i="16"/>
  <c r="V141" i="16"/>
  <c r="W141" i="16" s="1"/>
  <c r="X141" i="16"/>
  <c r="Y141" i="16" s="1"/>
  <c r="AA141" i="16"/>
  <c r="AB141" i="16"/>
  <c r="AC141" i="16"/>
  <c r="AD141" i="16" s="1"/>
  <c r="AE141" i="16"/>
  <c r="AF141" i="16" s="1"/>
  <c r="T142" i="16"/>
  <c r="V142" i="16"/>
  <c r="W142" i="16"/>
  <c r="X142" i="16"/>
  <c r="Y142" i="16"/>
  <c r="AA142" i="16"/>
  <c r="AB142" i="16"/>
  <c r="AC142" i="16"/>
  <c r="AD142" i="16"/>
  <c r="AE142" i="16"/>
  <c r="AF142" i="16"/>
  <c r="T143" i="16"/>
  <c r="V143" i="16"/>
  <c r="W143" i="16" s="1"/>
  <c r="X143" i="16"/>
  <c r="Y143" i="16"/>
  <c r="AA143" i="16"/>
  <c r="AB143" i="16" s="1"/>
  <c r="AC143" i="16"/>
  <c r="AD143" i="16" s="1"/>
  <c r="AE143" i="16"/>
  <c r="AF143" i="16" s="1"/>
  <c r="T144" i="16"/>
  <c r="V144" i="16"/>
  <c r="W144" i="16" s="1"/>
  <c r="X144" i="16"/>
  <c r="Y144" i="16"/>
  <c r="AA144" i="16"/>
  <c r="AB144" i="16" s="1"/>
  <c r="AC144" i="16"/>
  <c r="AD144" i="16"/>
  <c r="AE144" i="16"/>
  <c r="AF144" i="16" s="1"/>
  <c r="T145" i="16"/>
  <c r="V145" i="16"/>
  <c r="W145" i="16"/>
  <c r="X145" i="16"/>
  <c r="Y145" i="16" s="1"/>
  <c r="AA145" i="16"/>
  <c r="AB145" i="16" s="1"/>
  <c r="AC145" i="16"/>
  <c r="AD145" i="16" s="1"/>
  <c r="AE145" i="16"/>
  <c r="AF145" i="16"/>
  <c r="T146" i="16"/>
  <c r="V146" i="16"/>
  <c r="W146" i="16"/>
  <c r="X146" i="16"/>
  <c r="Y146" i="16" s="1"/>
  <c r="AA146" i="16"/>
  <c r="AB146" i="16"/>
  <c r="AC146" i="16"/>
  <c r="AD146" i="16" s="1"/>
  <c r="AE146" i="16"/>
  <c r="AF146" i="16"/>
  <c r="T147" i="16"/>
  <c r="V147" i="16"/>
  <c r="W147" i="16" s="1"/>
  <c r="X147" i="16"/>
  <c r="Y147" i="16" s="1"/>
  <c r="X130" i="16"/>
  <c r="Y130" i="16" s="1"/>
  <c r="X148" i="16"/>
  <c r="Y148" i="16"/>
  <c r="X149" i="16"/>
  <c r="Y149" i="16" s="1"/>
  <c r="X150" i="16"/>
  <c r="Y150" i="16" s="1"/>
  <c r="X151" i="16"/>
  <c r="Y151" i="16" s="1"/>
  <c r="X152" i="16"/>
  <c r="Y152" i="16"/>
  <c r="X153" i="16"/>
  <c r="Y153" i="16" s="1"/>
  <c r="X154" i="16"/>
  <c r="Y154" i="16" s="1"/>
  <c r="X155" i="16"/>
  <c r="Y155" i="16" s="1"/>
  <c r="X156" i="16"/>
  <c r="Y156" i="16"/>
  <c r="X157" i="16"/>
  <c r="Y157" i="16" s="1"/>
  <c r="X158" i="16"/>
  <c r="Y158" i="16" s="1"/>
  <c r="X159" i="16"/>
  <c r="Y159" i="16" s="1"/>
  <c r="X160" i="16"/>
  <c r="Y160" i="16"/>
  <c r="X161" i="16"/>
  <c r="Y161" i="16" s="1"/>
  <c r="X162" i="16"/>
  <c r="Y162" i="16" s="1"/>
  <c r="X163" i="16"/>
  <c r="Y163" i="16" s="1"/>
  <c r="X164" i="16"/>
  <c r="Y164" i="16"/>
  <c r="X165" i="16"/>
  <c r="Y165" i="16" s="1"/>
  <c r="X166" i="16"/>
  <c r="Y166" i="16" s="1"/>
  <c r="X167" i="16"/>
  <c r="Y167" i="16" s="1"/>
  <c r="X168" i="16"/>
  <c r="Y168" i="16"/>
  <c r="X169" i="16"/>
  <c r="Y169" i="16" s="1"/>
  <c r="X170" i="16"/>
  <c r="Y170" i="16" s="1"/>
  <c r="X171" i="16"/>
  <c r="Y171" i="16" s="1"/>
  <c r="X172" i="16"/>
  <c r="Y172" i="16"/>
  <c r="X173" i="16"/>
  <c r="Y173" i="16" s="1"/>
  <c r="X174" i="16"/>
  <c r="Y174" i="16" s="1"/>
  <c r="X175" i="16"/>
  <c r="Y175" i="16" s="1"/>
  <c r="X176" i="16"/>
  <c r="Y176" i="16"/>
  <c r="X177" i="16"/>
  <c r="Y177" i="16" s="1"/>
  <c r="X178" i="16"/>
  <c r="Y178" i="16" s="1"/>
  <c r="X179" i="16"/>
  <c r="Y179" i="16" s="1"/>
  <c r="X180" i="16"/>
  <c r="Y180" i="16"/>
  <c r="X181" i="16"/>
  <c r="Y181" i="16" s="1"/>
  <c r="X182" i="16"/>
  <c r="Y182" i="16" s="1"/>
  <c r="X183" i="16"/>
  <c r="Y183" i="16" s="1"/>
  <c r="X184" i="16"/>
  <c r="Y184" i="16"/>
  <c r="X185" i="16"/>
  <c r="Y185" i="16" s="1"/>
  <c r="X186" i="16"/>
  <c r="Y186" i="16" s="1"/>
  <c r="AA147" i="16"/>
  <c r="AB147" i="16"/>
  <c r="AC147" i="16"/>
  <c r="AD147" i="16"/>
  <c r="AE147" i="16"/>
  <c r="AF147" i="16"/>
  <c r="T148" i="16"/>
  <c r="V148" i="16"/>
  <c r="W148" i="16" s="1"/>
  <c r="AA148" i="16"/>
  <c r="AC148" i="16"/>
  <c r="AD148" i="16" s="1"/>
  <c r="AD129" i="16" s="1"/>
  <c r="AE148" i="16"/>
  <c r="AF148" i="16"/>
  <c r="T149" i="16"/>
  <c r="U149" i="16" s="1"/>
  <c r="V149" i="16"/>
  <c r="W149" i="16" s="1"/>
  <c r="AA149" i="16"/>
  <c r="AB149" i="16" s="1"/>
  <c r="AC149" i="16"/>
  <c r="AD149" i="16" s="1"/>
  <c r="AE149" i="16"/>
  <c r="AF149" i="16"/>
  <c r="T150" i="16"/>
  <c r="V150" i="16"/>
  <c r="W150" i="16"/>
  <c r="AA150" i="16"/>
  <c r="AB150" i="16" s="1"/>
  <c r="AC150" i="16"/>
  <c r="AD150" i="16"/>
  <c r="AE150" i="16"/>
  <c r="AF150" i="16" s="1"/>
  <c r="T151" i="16"/>
  <c r="V151" i="16"/>
  <c r="W151" i="16"/>
  <c r="AA151" i="16"/>
  <c r="AB151" i="16" s="1"/>
  <c r="AC151" i="16"/>
  <c r="AD151" i="16" s="1"/>
  <c r="AE151" i="16"/>
  <c r="AF151" i="16" s="1"/>
  <c r="T152" i="16"/>
  <c r="V152" i="16"/>
  <c r="W152" i="16" s="1"/>
  <c r="AA152" i="16"/>
  <c r="AB152" i="16"/>
  <c r="AC152" i="16"/>
  <c r="AD152" i="16" s="1"/>
  <c r="AE152" i="16"/>
  <c r="AF152" i="16"/>
  <c r="T153" i="16"/>
  <c r="U153" i="16" s="1"/>
  <c r="V153" i="16"/>
  <c r="W153" i="16" s="1"/>
  <c r="AA153" i="16"/>
  <c r="AB153" i="16" s="1"/>
  <c r="AC153" i="16"/>
  <c r="AD153" i="16" s="1"/>
  <c r="AE153" i="16"/>
  <c r="AF153" i="16"/>
  <c r="T154" i="16"/>
  <c r="V154" i="16"/>
  <c r="W154" i="16"/>
  <c r="AA154" i="16"/>
  <c r="AB154" i="16" s="1"/>
  <c r="AC154" i="16"/>
  <c r="AD154" i="16"/>
  <c r="AE154" i="16"/>
  <c r="AF154" i="16" s="1"/>
  <c r="T155" i="16"/>
  <c r="V155" i="16"/>
  <c r="W155" i="16"/>
  <c r="AA155" i="16"/>
  <c r="AB155" i="16" s="1"/>
  <c r="AC155" i="16"/>
  <c r="AD155" i="16" s="1"/>
  <c r="AE155" i="16"/>
  <c r="AF155" i="16" s="1"/>
  <c r="T156" i="16"/>
  <c r="V156" i="16"/>
  <c r="W156" i="16" s="1"/>
  <c r="AA156" i="16"/>
  <c r="AB156" i="16"/>
  <c r="AC156" i="16"/>
  <c r="AD156" i="16" s="1"/>
  <c r="AE156" i="16"/>
  <c r="AF156" i="16"/>
  <c r="T157" i="16"/>
  <c r="V157" i="16"/>
  <c r="W157" i="16" s="1"/>
  <c r="AA157" i="16"/>
  <c r="AB157" i="16" s="1"/>
  <c r="AC157" i="16"/>
  <c r="AD157" i="16" s="1"/>
  <c r="AE157" i="16"/>
  <c r="AF157" i="16"/>
  <c r="T158" i="16"/>
  <c r="V158" i="16"/>
  <c r="W158" i="16"/>
  <c r="AA158" i="16"/>
  <c r="AB158" i="16" s="1"/>
  <c r="AC158" i="16"/>
  <c r="AD158" i="16"/>
  <c r="AE158" i="16"/>
  <c r="AF158" i="16" s="1"/>
  <c r="T159" i="16"/>
  <c r="V159" i="16"/>
  <c r="W159" i="16"/>
  <c r="AA159" i="16"/>
  <c r="AB159" i="16" s="1"/>
  <c r="AC159" i="16"/>
  <c r="AD159" i="16" s="1"/>
  <c r="AE159" i="16"/>
  <c r="AF159" i="16" s="1"/>
  <c r="T160" i="16"/>
  <c r="V160" i="16"/>
  <c r="W160" i="16" s="1"/>
  <c r="AA160" i="16"/>
  <c r="AB160" i="16"/>
  <c r="AC160" i="16"/>
  <c r="AD160" i="16" s="1"/>
  <c r="AE160" i="16"/>
  <c r="AF160" i="16"/>
  <c r="T161" i="16"/>
  <c r="V161" i="16"/>
  <c r="W161" i="16" s="1"/>
  <c r="AA161" i="16"/>
  <c r="AB161" i="16" s="1"/>
  <c r="AA130" i="16"/>
  <c r="AB130" i="16" s="1"/>
  <c r="C148" i="16"/>
  <c r="AB148" i="16"/>
  <c r="AA162" i="16"/>
  <c r="AB162" i="16" s="1"/>
  <c r="AA163" i="16"/>
  <c r="AB163" i="16" s="1"/>
  <c r="AA164" i="16"/>
  <c r="AB164" i="16" s="1"/>
  <c r="AA165" i="16"/>
  <c r="AB165" i="16"/>
  <c r="AA166" i="16"/>
  <c r="AB166" i="16" s="1"/>
  <c r="AA167" i="16"/>
  <c r="AB167" i="16" s="1"/>
  <c r="AA168" i="16"/>
  <c r="AB168" i="16" s="1"/>
  <c r="AA169" i="16"/>
  <c r="AB169" i="16"/>
  <c r="AA170" i="16"/>
  <c r="AB170" i="16" s="1"/>
  <c r="AA171" i="16"/>
  <c r="AB171" i="16" s="1"/>
  <c r="AA172" i="16"/>
  <c r="AB172" i="16" s="1"/>
  <c r="AA173" i="16"/>
  <c r="AB173" i="16"/>
  <c r="AA174" i="16"/>
  <c r="AB174" i="16" s="1"/>
  <c r="AA175" i="16"/>
  <c r="AB175" i="16" s="1"/>
  <c r="AA176" i="16"/>
  <c r="AB176" i="16" s="1"/>
  <c r="AA177" i="16"/>
  <c r="AB177" i="16"/>
  <c r="AA178" i="16"/>
  <c r="AB178" i="16" s="1"/>
  <c r="AA179" i="16"/>
  <c r="AB179" i="16" s="1"/>
  <c r="AA180" i="16"/>
  <c r="AB180" i="16" s="1"/>
  <c r="AA181" i="16"/>
  <c r="AB181" i="16"/>
  <c r="AA182" i="16"/>
  <c r="AB182" i="16" s="1"/>
  <c r="AA183" i="16"/>
  <c r="AB183" i="16" s="1"/>
  <c r="AA184" i="16"/>
  <c r="AB184" i="16" s="1"/>
  <c r="AA185" i="16"/>
  <c r="AB185" i="16"/>
  <c r="AA186" i="16"/>
  <c r="AB186" i="16" s="1"/>
  <c r="AC161" i="16"/>
  <c r="AD161" i="16"/>
  <c r="AE161" i="16"/>
  <c r="AF161" i="16"/>
  <c r="T162" i="16"/>
  <c r="V162" i="16"/>
  <c r="W162" i="16" s="1"/>
  <c r="AC162" i="16"/>
  <c r="AD162" i="16"/>
  <c r="AE162" i="16"/>
  <c r="AF162" i="16" s="1"/>
  <c r="T163" i="16"/>
  <c r="V163" i="16"/>
  <c r="W163" i="16"/>
  <c r="AC163" i="16"/>
  <c r="AD163" i="16"/>
  <c r="AE163" i="16"/>
  <c r="AF163" i="16"/>
  <c r="T164" i="16"/>
  <c r="V164" i="16"/>
  <c r="W164" i="16" s="1"/>
  <c r="AC164" i="16"/>
  <c r="AD164" i="16" s="1"/>
  <c r="AE164" i="16"/>
  <c r="AF164" i="16"/>
  <c r="T165" i="16"/>
  <c r="V165" i="16"/>
  <c r="W165" i="16"/>
  <c r="AC165" i="16"/>
  <c r="AD165" i="16" s="1"/>
  <c r="AE165" i="16"/>
  <c r="AF165" i="16"/>
  <c r="T166" i="16"/>
  <c r="V166" i="16"/>
  <c r="W166" i="16" s="1"/>
  <c r="AC166" i="16"/>
  <c r="AD166" i="16" s="1"/>
  <c r="AE166" i="16"/>
  <c r="AF166" i="16" s="1"/>
  <c r="T167" i="16"/>
  <c r="V167" i="16"/>
  <c r="W167" i="16" s="1"/>
  <c r="AC167" i="16"/>
  <c r="AD167" i="16"/>
  <c r="AE167" i="16"/>
  <c r="AF167" i="16" s="1"/>
  <c r="T168" i="16"/>
  <c r="V168" i="16"/>
  <c r="W168" i="16"/>
  <c r="AC168" i="16"/>
  <c r="AD168" i="16" s="1"/>
  <c r="AE168" i="16"/>
  <c r="AF168" i="16" s="1"/>
  <c r="T169" i="16"/>
  <c r="V169" i="16"/>
  <c r="W169" i="16"/>
  <c r="AC169" i="16"/>
  <c r="AD169" i="16"/>
  <c r="AE169" i="16"/>
  <c r="AF169" i="16"/>
  <c r="T170" i="16"/>
  <c r="V170" i="16"/>
  <c r="W170" i="16" s="1"/>
  <c r="AC170" i="16"/>
  <c r="AD170" i="16"/>
  <c r="AE170" i="16"/>
  <c r="AF170" i="16" s="1"/>
  <c r="T171" i="16"/>
  <c r="V171" i="16"/>
  <c r="W171" i="16"/>
  <c r="AC171" i="16"/>
  <c r="AD171" i="16"/>
  <c r="AE171" i="16"/>
  <c r="AF171" i="16"/>
  <c r="T172" i="16"/>
  <c r="V172" i="16"/>
  <c r="W172" i="16" s="1"/>
  <c r="AC172" i="16"/>
  <c r="AD172" i="16" s="1"/>
  <c r="AE172" i="16"/>
  <c r="AF172" i="16"/>
  <c r="T173" i="16"/>
  <c r="U173" i="16" s="1"/>
  <c r="V173" i="16"/>
  <c r="W173" i="16" s="1"/>
  <c r="AC173" i="16"/>
  <c r="AD173" i="16" s="1"/>
  <c r="AE173" i="16"/>
  <c r="AF173" i="16"/>
  <c r="T174" i="16"/>
  <c r="V174" i="16"/>
  <c r="W174" i="16"/>
  <c r="AC174" i="16"/>
  <c r="AD174" i="16" s="1"/>
  <c r="AE174" i="16"/>
  <c r="AF174" i="16"/>
  <c r="T175" i="16"/>
  <c r="U175" i="16" s="1"/>
  <c r="V175" i="16"/>
  <c r="W175" i="16"/>
  <c r="AC175" i="16"/>
  <c r="AD175" i="16" s="1"/>
  <c r="AE175" i="16"/>
  <c r="AF175" i="16"/>
  <c r="T176" i="16"/>
  <c r="V176" i="16"/>
  <c r="W176" i="16" s="1"/>
  <c r="AC176" i="16"/>
  <c r="AD176" i="16" s="1"/>
  <c r="AE176" i="16"/>
  <c r="AF176" i="16" s="1"/>
  <c r="T177" i="16"/>
  <c r="V177" i="16"/>
  <c r="W177" i="16" s="1"/>
  <c r="AC177" i="16"/>
  <c r="AD177" i="16"/>
  <c r="AE177" i="16"/>
  <c r="AF177" i="16" s="1"/>
  <c r="T178" i="16"/>
  <c r="V178" i="16"/>
  <c r="W178" i="16"/>
  <c r="AC178" i="16"/>
  <c r="AD178" i="16" s="1"/>
  <c r="AE178" i="16"/>
  <c r="AF178" i="16" s="1"/>
  <c r="T179" i="16"/>
  <c r="U179" i="16" s="1"/>
  <c r="V179" i="16"/>
  <c r="W179" i="16"/>
  <c r="AC179" i="16"/>
  <c r="AD179" i="16" s="1"/>
  <c r="AE179" i="16"/>
  <c r="AF179" i="16" s="1"/>
  <c r="T180" i="16"/>
  <c r="U180" i="16" s="1"/>
  <c r="V180" i="16"/>
  <c r="W180" i="16"/>
  <c r="AC180" i="16"/>
  <c r="AD180" i="16"/>
  <c r="AE180" i="16"/>
  <c r="AF180" i="16"/>
  <c r="T181" i="16"/>
  <c r="V181" i="16"/>
  <c r="W181" i="16" s="1"/>
  <c r="AC181" i="16"/>
  <c r="AD181" i="16"/>
  <c r="AE181" i="16"/>
  <c r="AF181" i="16" s="1"/>
  <c r="T182" i="16"/>
  <c r="V182" i="16"/>
  <c r="W182" i="16"/>
  <c r="AC182" i="16"/>
  <c r="AD182" i="16"/>
  <c r="AE182" i="16"/>
  <c r="AF182" i="16"/>
  <c r="T183" i="16"/>
  <c r="U183" i="16"/>
  <c r="V183" i="16"/>
  <c r="W183" i="16"/>
  <c r="AC183" i="16"/>
  <c r="AD183" i="16"/>
  <c r="AE183" i="16"/>
  <c r="AF183" i="16"/>
  <c r="T184" i="16"/>
  <c r="V184" i="16"/>
  <c r="W184" i="16" s="1"/>
  <c r="AC184" i="16"/>
  <c r="AD184" i="16" s="1"/>
  <c r="AE184" i="16"/>
  <c r="AF184" i="16"/>
  <c r="T185" i="16"/>
  <c r="V185" i="16"/>
  <c r="W185" i="16"/>
  <c r="V130" i="16"/>
  <c r="W130" i="16" s="1"/>
  <c r="W129" i="16" s="1"/>
  <c r="V186" i="16"/>
  <c r="W186" i="16"/>
  <c r="AC185" i="16"/>
  <c r="AD185" i="16" s="1"/>
  <c r="AE185" i="16"/>
  <c r="AF185" i="16" s="1"/>
  <c r="T186" i="16"/>
  <c r="U186" i="16" s="1"/>
  <c r="AC186" i="16"/>
  <c r="AD186" i="16"/>
  <c r="AE186" i="16"/>
  <c r="AF186" i="16"/>
  <c r="AE130" i="16"/>
  <c r="AF130" i="16"/>
  <c r="AC130" i="16"/>
  <c r="AD130" i="16"/>
  <c r="T130" i="16"/>
  <c r="AE127" i="16"/>
  <c r="AF127" i="16" s="1"/>
  <c r="AF126" i="16" s="1"/>
  <c r="AC127" i="16"/>
  <c r="AD127" i="16"/>
  <c r="AD126" i="16" s="1"/>
  <c r="AA127" i="16"/>
  <c r="AB127" i="16" s="1"/>
  <c r="AB126" i="16" s="1"/>
  <c r="X127" i="16"/>
  <c r="Y127" i="16"/>
  <c r="Y126" i="16" s="1"/>
  <c r="V127" i="16"/>
  <c r="W127" i="16"/>
  <c r="W126" i="16"/>
  <c r="T127" i="16"/>
  <c r="T82" i="16"/>
  <c r="V82" i="16"/>
  <c r="W82" i="16"/>
  <c r="X82" i="16"/>
  <c r="Y82" i="16" s="1"/>
  <c r="AA82" i="16"/>
  <c r="AB82" i="16" s="1"/>
  <c r="AC82" i="16"/>
  <c r="AD82" i="16" s="1"/>
  <c r="AE82" i="16"/>
  <c r="AF82" i="16"/>
  <c r="T83" i="16"/>
  <c r="V83" i="16"/>
  <c r="W83" i="16"/>
  <c r="X83" i="16"/>
  <c r="Y83" i="16" s="1"/>
  <c r="AA83" i="16"/>
  <c r="AB83" i="16"/>
  <c r="AC83" i="16"/>
  <c r="AD83" i="16" s="1"/>
  <c r="AE83" i="16"/>
  <c r="AF83" i="16"/>
  <c r="T84" i="16"/>
  <c r="V84" i="16"/>
  <c r="W84" i="16" s="1"/>
  <c r="X84" i="16"/>
  <c r="Y84" i="16" s="1"/>
  <c r="AA84" i="16"/>
  <c r="AB84" i="16" s="1"/>
  <c r="AC84" i="16"/>
  <c r="AD84" i="16"/>
  <c r="AE84" i="16"/>
  <c r="AF84" i="16" s="1"/>
  <c r="T85" i="16"/>
  <c r="V85" i="16"/>
  <c r="W85" i="16"/>
  <c r="X85" i="16"/>
  <c r="Y85" i="16"/>
  <c r="AA85" i="16"/>
  <c r="AB85" i="16"/>
  <c r="AC85" i="16"/>
  <c r="AD85" i="16"/>
  <c r="AE85" i="16"/>
  <c r="AF85" i="16"/>
  <c r="T86" i="16"/>
  <c r="V86" i="16"/>
  <c r="W86" i="16" s="1"/>
  <c r="X86" i="16"/>
  <c r="Y86" i="16" s="1"/>
  <c r="AA86" i="16"/>
  <c r="AB86" i="16"/>
  <c r="AC86" i="16"/>
  <c r="AD86" i="16" s="1"/>
  <c r="AE86" i="16"/>
  <c r="AF86" i="16" s="1"/>
  <c r="T87" i="16"/>
  <c r="V87" i="16"/>
  <c r="W87" i="16"/>
  <c r="X87" i="16"/>
  <c r="Y87" i="16" s="1"/>
  <c r="AA87" i="16"/>
  <c r="AB87" i="16" s="1"/>
  <c r="AC87" i="16"/>
  <c r="AD87" i="16" s="1"/>
  <c r="AE87" i="16"/>
  <c r="AF87" i="16"/>
  <c r="T88" i="16"/>
  <c r="V88" i="16"/>
  <c r="W88" i="16"/>
  <c r="X88" i="16"/>
  <c r="Y88" i="16" s="1"/>
  <c r="AA88" i="16"/>
  <c r="AB88" i="16"/>
  <c r="AC88" i="16"/>
  <c r="AD88" i="16" s="1"/>
  <c r="AE88" i="16"/>
  <c r="AF88" i="16"/>
  <c r="T89" i="16"/>
  <c r="V89" i="16"/>
  <c r="W89" i="16" s="1"/>
  <c r="X89" i="16"/>
  <c r="Y89" i="16" s="1"/>
  <c r="AA89" i="16"/>
  <c r="AB89" i="16" s="1"/>
  <c r="AC89" i="16"/>
  <c r="AD89" i="16"/>
  <c r="AE89" i="16"/>
  <c r="AF89" i="16" s="1"/>
  <c r="T90" i="16"/>
  <c r="V90" i="16"/>
  <c r="W90" i="16"/>
  <c r="X90" i="16"/>
  <c r="Y90" i="16"/>
  <c r="AA90" i="16"/>
  <c r="AB90" i="16"/>
  <c r="AC90" i="16"/>
  <c r="AD90" i="16"/>
  <c r="AE90" i="16"/>
  <c r="AF90" i="16"/>
  <c r="T91" i="16"/>
  <c r="V91" i="16"/>
  <c r="W91" i="16" s="1"/>
  <c r="X91" i="16"/>
  <c r="Y91" i="16" s="1"/>
  <c r="AA91" i="16"/>
  <c r="AB91" i="16"/>
  <c r="AC91" i="16"/>
  <c r="AD91" i="16" s="1"/>
  <c r="AE91" i="16"/>
  <c r="AF91" i="16" s="1"/>
  <c r="T92" i="16"/>
  <c r="V92" i="16"/>
  <c r="W92" i="16"/>
  <c r="X92" i="16"/>
  <c r="Y92" i="16"/>
  <c r="AA92" i="16"/>
  <c r="AB92" i="16"/>
  <c r="AC92" i="16"/>
  <c r="AD92" i="16"/>
  <c r="AE92" i="16"/>
  <c r="AF92" i="16"/>
  <c r="T93" i="16"/>
  <c r="V93" i="16"/>
  <c r="W93" i="16" s="1"/>
  <c r="X93" i="16"/>
  <c r="Y93" i="16"/>
  <c r="AA93" i="16"/>
  <c r="AB93" i="16" s="1"/>
  <c r="AC93" i="16"/>
  <c r="AD93" i="16" s="1"/>
  <c r="AE93" i="16"/>
  <c r="AF93" i="16" s="1"/>
  <c r="T94" i="16"/>
  <c r="V94" i="16"/>
  <c r="W94" i="16" s="1"/>
  <c r="X94" i="16"/>
  <c r="Y94" i="16"/>
  <c r="AA94" i="16"/>
  <c r="AB94" i="16" s="1"/>
  <c r="AC94" i="16"/>
  <c r="AD94" i="16"/>
  <c r="AE94" i="16"/>
  <c r="AF94" i="16" s="1"/>
  <c r="T95" i="16"/>
  <c r="V95" i="16"/>
  <c r="W95" i="16"/>
  <c r="X95" i="16"/>
  <c r="Y95" i="16" s="1"/>
  <c r="AA95" i="16"/>
  <c r="AB95" i="16" s="1"/>
  <c r="AC95" i="16"/>
  <c r="AD95" i="16" s="1"/>
  <c r="AE95" i="16"/>
  <c r="AF95" i="16"/>
  <c r="T96" i="16"/>
  <c r="V96" i="16"/>
  <c r="W96" i="16"/>
  <c r="X96" i="16"/>
  <c r="Y96" i="16" s="1"/>
  <c r="AA96" i="16"/>
  <c r="AB96" i="16"/>
  <c r="AC96" i="16"/>
  <c r="AD96" i="16" s="1"/>
  <c r="AE96" i="16"/>
  <c r="AF96" i="16"/>
  <c r="T97" i="16"/>
  <c r="V97" i="16"/>
  <c r="W97" i="16" s="1"/>
  <c r="X97" i="16"/>
  <c r="Y97" i="16" s="1"/>
  <c r="AA97" i="16"/>
  <c r="AB97" i="16" s="1"/>
  <c r="AC97" i="16"/>
  <c r="AD97" i="16"/>
  <c r="AE97" i="16"/>
  <c r="AF97" i="16" s="1"/>
  <c r="T98" i="16"/>
  <c r="V98" i="16"/>
  <c r="W98" i="16"/>
  <c r="X98" i="16"/>
  <c r="Y98" i="16"/>
  <c r="AA98" i="16"/>
  <c r="AB98" i="16"/>
  <c r="AC98" i="16"/>
  <c r="AD98" i="16"/>
  <c r="AE98" i="16"/>
  <c r="AF98" i="16"/>
  <c r="T99" i="16"/>
  <c r="V99" i="16"/>
  <c r="W99" i="16" s="1"/>
  <c r="X99" i="16"/>
  <c r="Y99" i="16" s="1"/>
  <c r="AA99" i="16"/>
  <c r="AB99" i="16"/>
  <c r="AC99" i="16"/>
  <c r="AD99" i="16" s="1"/>
  <c r="AE99" i="16"/>
  <c r="AF99" i="16" s="1"/>
  <c r="T100" i="16"/>
  <c r="V100" i="16"/>
  <c r="W100" i="16"/>
  <c r="X100" i="16"/>
  <c r="Y100" i="16"/>
  <c r="AA100" i="16"/>
  <c r="AB100" i="16"/>
  <c r="AC100" i="16"/>
  <c r="AD100" i="16"/>
  <c r="AE100" i="16"/>
  <c r="AF100" i="16"/>
  <c r="T101" i="16"/>
  <c r="V101" i="16"/>
  <c r="W101" i="16" s="1"/>
  <c r="X101" i="16"/>
  <c r="Y101" i="16"/>
  <c r="AA101" i="16"/>
  <c r="AB101" i="16" s="1"/>
  <c r="AC101" i="16"/>
  <c r="AD101" i="16" s="1"/>
  <c r="AE101" i="16"/>
  <c r="AF101" i="16" s="1"/>
  <c r="T102" i="16"/>
  <c r="V102" i="16"/>
  <c r="W102" i="16" s="1"/>
  <c r="X102" i="16"/>
  <c r="Y102" i="16"/>
  <c r="AA102" i="16"/>
  <c r="AB102" i="16" s="1"/>
  <c r="AC102" i="16"/>
  <c r="AD102" i="16"/>
  <c r="AE102" i="16"/>
  <c r="AF102" i="16" s="1"/>
  <c r="T103" i="16"/>
  <c r="V103" i="16"/>
  <c r="W103" i="16"/>
  <c r="X103" i="16"/>
  <c r="Y103" i="16" s="1"/>
  <c r="AA103" i="16"/>
  <c r="AB103" i="16" s="1"/>
  <c r="AC103" i="16"/>
  <c r="AD103" i="16" s="1"/>
  <c r="AE103" i="16"/>
  <c r="AF103" i="16"/>
  <c r="T104" i="16"/>
  <c r="V104" i="16"/>
  <c r="W104" i="16"/>
  <c r="X104" i="16"/>
  <c r="Y104" i="16" s="1"/>
  <c r="AA104" i="16"/>
  <c r="AB104" i="16"/>
  <c r="AC104" i="16"/>
  <c r="AD104" i="16" s="1"/>
  <c r="AE104" i="16"/>
  <c r="AF104" i="16"/>
  <c r="T105" i="16"/>
  <c r="U105" i="16" s="1"/>
  <c r="V105" i="16"/>
  <c r="W105" i="16" s="1"/>
  <c r="X105" i="16"/>
  <c r="Y105" i="16" s="1"/>
  <c r="AA105" i="16"/>
  <c r="AB105" i="16" s="1"/>
  <c r="AC105" i="16"/>
  <c r="AD105" i="16"/>
  <c r="AE105" i="16"/>
  <c r="AF105" i="16" s="1"/>
  <c r="AE81" i="16"/>
  <c r="AF81" i="16" s="1"/>
  <c r="AE106" i="16"/>
  <c r="AF106" i="16" s="1"/>
  <c r="AE107" i="16"/>
  <c r="AF107" i="16"/>
  <c r="AE108" i="16"/>
  <c r="AF108" i="16" s="1"/>
  <c r="AE109" i="16"/>
  <c r="AF109" i="16" s="1"/>
  <c r="AE110" i="16"/>
  <c r="AF110" i="16" s="1"/>
  <c r="AE111" i="16"/>
  <c r="AF111" i="16"/>
  <c r="AE112" i="16"/>
  <c r="AF112" i="16" s="1"/>
  <c r="AE113" i="16"/>
  <c r="AF113" i="16" s="1"/>
  <c r="AE114" i="16"/>
  <c r="AF114" i="16" s="1"/>
  <c r="AE115" i="16"/>
  <c r="AF115" i="16"/>
  <c r="AE116" i="16"/>
  <c r="AF116" i="16" s="1"/>
  <c r="AE117" i="16"/>
  <c r="AF117" i="16" s="1"/>
  <c r="AE118" i="16"/>
  <c r="AF118" i="16" s="1"/>
  <c r="AE119" i="16"/>
  <c r="AF119" i="16"/>
  <c r="AE120" i="16"/>
  <c r="AF120" i="16" s="1"/>
  <c r="AE121" i="16"/>
  <c r="AF121" i="16" s="1"/>
  <c r="AE122" i="16"/>
  <c r="AF122" i="16" s="1"/>
  <c r="AE123" i="16"/>
  <c r="AF123" i="16"/>
  <c r="AE124" i="16"/>
  <c r="AF124" i="16" s="1"/>
  <c r="T106" i="16"/>
  <c r="V106" i="16"/>
  <c r="W106" i="16" s="1"/>
  <c r="X106" i="16"/>
  <c r="Y106" i="16"/>
  <c r="AA106" i="16"/>
  <c r="AB106" i="16" s="1"/>
  <c r="AC106" i="16"/>
  <c r="AD106" i="16" s="1"/>
  <c r="T107" i="16"/>
  <c r="V107" i="16"/>
  <c r="W107" i="16"/>
  <c r="X107" i="16"/>
  <c r="Y107" i="16"/>
  <c r="AA107" i="16"/>
  <c r="AB107" i="16"/>
  <c r="AC107" i="16"/>
  <c r="AD107" i="16"/>
  <c r="T108" i="16"/>
  <c r="V108" i="16"/>
  <c r="W108" i="16" s="1"/>
  <c r="X108" i="16"/>
  <c r="Y108" i="16" s="1"/>
  <c r="AA108" i="16"/>
  <c r="AB108" i="16"/>
  <c r="AC108" i="16"/>
  <c r="AD108" i="16" s="1"/>
  <c r="T109" i="16"/>
  <c r="V109" i="16"/>
  <c r="W109" i="16"/>
  <c r="X109" i="16"/>
  <c r="Y109" i="16"/>
  <c r="AA109" i="16"/>
  <c r="AB109" i="16"/>
  <c r="AC109" i="16"/>
  <c r="AD109" i="16"/>
  <c r="T110" i="16"/>
  <c r="V110" i="16"/>
  <c r="W110" i="16" s="1"/>
  <c r="X110" i="16"/>
  <c r="Y110" i="16"/>
  <c r="AA110" i="16"/>
  <c r="AB110" i="16" s="1"/>
  <c r="AC110" i="16"/>
  <c r="AD110" i="16" s="1"/>
  <c r="T111" i="16"/>
  <c r="U111" i="16" s="1"/>
  <c r="V111" i="16"/>
  <c r="W111" i="16"/>
  <c r="X111" i="16"/>
  <c r="Y111" i="16"/>
  <c r="AA111" i="16"/>
  <c r="AB111" i="16"/>
  <c r="AC111" i="16"/>
  <c r="AD111" i="16"/>
  <c r="T112" i="16"/>
  <c r="V112" i="16"/>
  <c r="W112" i="16" s="1"/>
  <c r="X112" i="16"/>
  <c r="Y112" i="16" s="1"/>
  <c r="AA112" i="16"/>
  <c r="AB112" i="16"/>
  <c r="AC112" i="16"/>
  <c r="AD112" i="16" s="1"/>
  <c r="T113" i="16"/>
  <c r="U113" i="16" s="1"/>
  <c r="V113" i="16"/>
  <c r="W113" i="16" s="1"/>
  <c r="X113" i="16"/>
  <c r="AA113" i="16"/>
  <c r="AB113" i="16" s="1"/>
  <c r="AB80" i="16" s="1"/>
  <c r="AC113" i="16"/>
  <c r="AD113" i="16"/>
  <c r="T114" i="16"/>
  <c r="U114" i="16" s="1"/>
  <c r="V114" i="16"/>
  <c r="W114" i="16" s="1"/>
  <c r="X114" i="16"/>
  <c r="Y114" i="16" s="1"/>
  <c r="AA114" i="16"/>
  <c r="AB114" i="16" s="1"/>
  <c r="AC114" i="16"/>
  <c r="AD114" i="16"/>
  <c r="T115" i="16"/>
  <c r="V115" i="16"/>
  <c r="W115" i="16"/>
  <c r="X115" i="16"/>
  <c r="Y115" i="16" s="1"/>
  <c r="AA115" i="16"/>
  <c r="AB115" i="16"/>
  <c r="AC115" i="16"/>
  <c r="AD115" i="16" s="1"/>
  <c r="T116" i="16"/>
  <c r="V116" i="16"/>
  <c r="W116" i="16"/>
  <c r="X116" i="16"/>
  <c r="Y116" i="16" s="1"/>
  <c r="AA116" i="16"/>
  <c r="AB116" i="16" s="1"/>
  <c r="AC116" i="16"/>
  <c r="AD116" i="16" s="1"/>
  <c r="T117" i="16"/>
  <c r="V117" i="16"/>
  <c r="W117" i="16" s="1"/>
  <c r="X117" i="16"/>
  <c r="Y117" i="16"/>
  <c r="AA117" i="16"/>
  <c r="AB117" i="16" s="1"/>
  <c r="AC117" i="16"/>
  <c r="AD117" i="16"/>
  <c r="T118" i="16"/>
  <c r="U118" i="16" s="1"/>
  <c r="V118" i="16"/>
  <c r="W118" i="16" s="1"/>
  <c r="X118" i="16"/>
  <c r="Y118" i="16" s="1"/>
  <c r="AA118" i="16"/>
  <c r="AB118" i="16" s="1"/>
  <c r="AC118" i="16"/>
  <c r="AD118" i="16"/>
  <c r="T119" i="16"/>
  <c r="V119" i="16"/>
  <c r="W119" i="16"/>
  <c r="X119" i="16"/>
  <c r="Y119" i="16" s="1"/>
  <c r="AA119" i="16"/>
  <c r="AB119" i="16"/>
  <c r="AC119" i="16"/>
  <c r="AD119" i="16" s="1"/>
  <c r="T120" i="16"/>
  <c r="V120" i="16"/>
  <c r="W120" i="16"/>
  <c r="X120" i="16"/>
  <c r="Y120" i="16" s="1"/>
  <c r="AA120" i="16"/>
  <c r="AB120" i="16" s="1"/>
  <c r="AC120" i="16"/>
  <c r="AD120" i="16" s="1"/>
  <c r="T121" i="16"/>
  <c r="V121" i="16"/>
  <c r="W121" i="16" s="1"/>
  <c r="X121" i="16"/>
  <c r="Y121" i="16"/>
  <c r="AA121" i="16"/>
  <c r="AB121" i="16" s="1"/>
  <c r="AC121" i="16"/>
  <c r="AD121" i="16"/>
  <c r="T122" i="16"/>
  <c r="U122" i="16" s="1"/>
  <c r="V122" i="16"/>
  <c r="W122" i="16" s="1"/>
  <c r="X122" i="16"/>
  <c r="Y122" i="16" s="1"/>
  <c r="AA122" i="16"/>
  <c r="AB122" i="16" s="1"/>
  <c r="AC122" i="16"/>
  <c r="AD122" i="16"/>
  <c r="T123" i="16"/>
  <c r="V123" i="16"/>
  <c r="W123" i="16"/>
  <c r="X123" i="16"/>
  <c r="Y123" i="16" s="1"/>
  <c r="AA123" i="16"/>
  <c r="AB123" i="16"/>
  <c r="AC123" i="16"/>
  <c r="AD123" i="16" s="1"/>
  <c r="T124" i="16"/>
  <c r="V124" i="16"/>
  <c r="W124" i="16"/>
  <c r="X124" i="16"/>
  <c r="Y124" i="16" s="1"/>
  <c r="AA124" i="16"/>
  <c r="AB124" i="16" s="1"/>
  <c r="AC124" i="16"/>
  <c r="AD124" i="16" s="1"/>
  <c r="AC81" i="16"/>
  <c r="AD81" i="16"/>
  <c r="AA81" i="16"/>
  <c r="AB81" i="16" s="1"/>
  <c r="X81" i="16"/>
  <c r="Y81" i="16" s="1"/>
  <c r="V81" i="16"/>
  <c r="W81" i="16" s="1"/>
  <c r="T81" i="16"/>
  <c r="T54" i="16"/>
  <c r="V54" i="16"/>
  <c r="W54" i="16" s="1"/>
  <c r="X54" i="16"/>
  <c r="Y54" i="16" s="1"/>
  <c r="Y52" i="16" s="1"/>
  <c r="AA54" i="16"/>
  <c r="AB54" i="16" s="1"/>
  <c r="AC54" i="16"/>
  <c r="AD54" i="16"/>
  <c r="AE54" i="16"/>
  <c r="AF54" i="16" s="1"/>
  <c r="T55" i="16"/>
  <c r="V55" i="16"/>
  <c r="W55" i="16"/>
  <c r="X55" i="16"/>
  <c r="Y55" i="16"/>
  <c r="AA55" i="16"/>
  <c r="AB55" i="16"/>
  <c r="AC55" i="16"/>
  <c r="AD55" i="16"/>
  <c r="AE55" i="16"/>
  <c r="AF55" i="16"/>
  <c r="T56" i="16"/>
  <c r="V56" i="16"/>
  <c r="W56" i="16" s="1"/>
  <c r="X56" i="16"/>
  <c r="Y56" i="16" s="1"/>
  <c r="AA56" i="16"/>
  <c r="AB56" i="16"/>
  <c r="AC56" i="16"/>
  <c r="AD56" i="16" s="1"/>
  <c r="AE56" i="16"/>
  <c r="AF56" i="16" s="1"/>
  <c r="AF52" i="16" s="1"/>
  <c r="T57" i="16"/>
  <c r="U57" i="16" s="1"/>
  <c r="V57" i="16"/>
  <c r="W57" i="16"/>
  <c r="X57" i="16"/>
  <c r="Y57" i="16" s="1"/>
  <c r="AA57" i="16"/>
  <c r="AB57" i="16" s="1"/>
  <c r="AC57" i="16"/>
  <c r="AD57" i="16" s="1"/>
  <c r="AE57" i="16"/>
  <c r="AF57" i="16"/>
  <c r="T58" i="16"/>
  <c r="U58" i="16" s="1"/>
  <c r="V58" i="16"/>
  <c r="W58" i="16" s="1"/>
  <c r="X58" i="16"/>
  <c r="Y58" i="16" s="1"/>
  <c r="AA58" i="16"/>
  <c r="AB58" i="16"/>
  <c r="AC58" i="16"/>
  <c r="AD58" i="16" s="1"/>
  <c r="AE58" i="16"/>
  <c r="AF58" i="16" s="1"/>
  <c r="T59" i="16"/>
  <c r="U59" i="16" s="1"/>
  <c r="V59" i="16"/>
  <c r="W59" i="16"/>
  <c r="X59" i="16"/>
  <c r="Y59" i="16" s="1"/>
  <c r="AA59" i="16"/>
  <c r="AB59" i="16" s="1"/>
  <c r="AC59" i="16"/>
  <c r="AD59" i="16" s="1"/>
  <c r="AE59" i="16"/>
  <c r="AF59" i="16"/>
  <c r="T60" i="16"/>
  <c r="U60" i="16" s="1"/>
  <c r="V60" i="16"/>
  <c r="W60" i="16" s="1"/>
  <c r="X60" i="16"/>
  <c r="Y60" i="16" s="1"/>
  <c r="AA60" i="16"/>
  <c r="AB60" i="16"/>
  <c r="AC60" i="16"/>
  <c r="AD60" i="16" s="1"/>
  <c r="AE60" i="16"/>
  <c r="AF60" i="16" s="1"/>
  <c r="T61" i="16"/>
  <c r="U61" i="16" s="1"/>
  <c r="V61" i="16"/>
  <c r="W61" i="16"/>
  <c r="X61" i="16"/>
  <c r="Y61" i="16" s="1"/>
  <c r="AA61" i="16"/>
  <c r="AB61" i="16" s="1"/>
  <c r="AC61" i="16"/>
  <c r="AD61" i="16" s="1"/>
  <c r="AE61" i="16"/>
  <c r="AF61" i="16"/>
  <c r="T62" i="16"/>
  <c r="U62" i="16" s="1"/>
  <c r="V62" i="16"/>
  <c r="W62" i="16" s="1"/>
  <c r="X62" i="16"/>
  <c r="Y62" i="16" s="1"/>
  <c r="AA62" i="16"/>
  <c r="AB62" i="16"/>
  <c r="AC62" i="16"/>
  <c r="AD62" i="16" s="1"/>
  <c r="AE62" i="16"/>
  <c r="AF62" i="16" s="1"/>
  <c r="T63" i="16"/>
  <c r="U63" i="16" s="1"/>
  <c r="V63" i="16"/>
  <c r="W63" i="16"/>
  <c r="X63" i="16"/>
  <c r="Y63" i="16" s="1"/>
  <c r="AA63" i="16"/>
  <c r="AB63" i="16" s="1"/>
  <c r="AC63" i="16"/>
  <c r="AD63" i="16" s="1"/>
  <c r="AE63" i="16"/>
  <c r="AF63" i="16"/>
  <c r="T64" i="16"/>
  <c r="U64" i="16" s="1"/>
  <c r="V64" i="16"/>
  <c r="W64" i="16" s="1"/>
  <c r="X64" i="16"/>
  <c r="Y64" i="16" s="1"/>
  <c r="AA64" i="16"/>
  <c r="AB64" i="16"/>
  <c r="AC64" i="16"/>
  <c r="AD64" i="16" s="1"/>
  <c r="AE64" i="16"/>
  <c r="AF64" i="16" s="1"/>
  <c r="T65" i="16"/>
  <c r="U65" i="16" s="1"/>
  <c r="V65" i="16"/>
  <c r="W65" i="16"/>
  <c r="X65" i="16"/>
  <c r="Y65" i="16" s="1"/>
  <c r="AA65" i="16"/>
  <c r="AB65" i="16" s="1"/>
  <c r="AC65" i="16"/>
  <c r="AD65" i="16" s="1"/>
  <c r="AE65" i="16"/>
  <c r="AF65" i="16"/>
  <c r="T66" i="16"/>
  <c r="U66" i="16" s="1"/>
  <c r="V66" i="16"/>
  <c r="W66" i="16" s="1"/>
  <c r="X66" i="16"/>
  <c r="Y66" i="16" s="1"/>
  <c r="AA66" i="16"/>
  <c r="AB66" i="16"/>
  <c r="AC66" i="16"/>
  <c r="AD66" i="16" s="1"/>
  <c r="AE66" i="16"/>
  <c r="AF66" i="16" s="1"/>
  <c r="T67" i="16"/>
  <c r="U67" i="16" s="1"/>
  <c r="V67" i="16"/>
  <c r="W67" i="16"/>
  <c r="X67" i="16"/>
  <c r="Y67" i="16" s="1"/>
  <c r="AA67" i="16"/>
  <c r="AB67" i="16" s="1"/>
  <c r="AC67" i="16"/>
  <c r="AD67" i="16" s="1"/>
  <c r="AE67" i="16"/>
  <c r="AF67" i="16"/>
  <c r="T68" i="16"/>
  <c r="U68" i="16" s="1"/>
  <c r="V68" i="16"/>
  <c r="W68" i="16" s="1"/>
  <c r="X68" i="16"/>
  <c r="Y68" i="16" s="1"/>
  <c r="AA68" i="16"/>
  <c r="AB68" i="16"/>
  <c r="AC68" i="16"/>
  <c r="AD68" i="16" s="1"/>
  <c r="AE68" i="16"/>
  <c r="AF68" i="16" s="1"/>
  <c r="T69" i="16"/>
  <c r="V69" i="16"/>
  <c r="W69" i="16"/>
  <c r="X69" i="16"/>
  <c r="Y69" i="16"/>
  <c r="AA69" i="16"/>
  <c r="AB69" i="16"/>
  <c r="AC69" i="16"/>
  <c r="AD69" i="16"/>
  <c r="AE69" i="16"/>
  <c r="AF69" i="16"/>
  <c r="T70" i="16"/>
  <c r="V70" i="16"/>
  <c r="W70" i="16" s="1"/>
  <c r="X70" i="16"/>
  <c r="Y70" i="16"/>
  <c r="AA70" i="16"/>
  <c r="AB70" i="16" s="1"/>
  <c r="AC70" i="16"/>
  <c r="AD70" i="16" s="1"/>
  <c r="AE70" i="16"/>
  <c r="AF70" i="16" s="1"/>
  <c r="T71" i="16"/>
  <c r="U71" i="16"/>
  <c r="V71" i="16"/>
  <c r="W71" i="16" s="1"/>
  <c r="X71" i="16"/>
  <c r="Y71" i="16" s="1"/>
  <c r="AA71" i="16"/>
  <c r="AB71" i="16" s="1"/>
  <c r="AC71" i="16"/>
  <c r="AD71" i="16"/>
  <c r="AE71" i="16"/>
  <c r="AF71" i="16" s="1"/>
  <c r="T72" i="16"/>
  <c r="U72" i="16" s="1"/>
  <c r="V72" i="16"/>
  <c r="W72" i="16" s="1"/>
  <c r="X72" i="16"/>
  <c r="Y72" i="16"/>
  <c r="AA72" i="16"/>
  <c r="AB72" i="16" s="1"/>
  <c r="AC72" i="16"/>
  <c r="AD72" i="16" s="1"/>
  <c r="AD52" i="16" s="1"/>
  <c r="AE72" i="16"/>
  <c r="AF72" i="16" s="1"/>
  <c r="T73" i="16"/>
  <c r="U73" i="16"/>
  <c r="V73" i="16"/>
  <c r="W73" i="16" s="1"/>
  <c r="X73" i="16"/>
  <c r="Y73" i="16" s="1"/>
  <c r="AA73" i="16"/>
  <c r="AB73" i="16" s="1"/>
  <c r="AC73" i="16"/>
  <c r="AD73" i="16"/>
  <c r="AE73" i="16"/>
  <c r="AF73" i="16" s="1"/>
  <c r="T74" i="16"/>
  <c r="U74" i="16" s="1"/>
  <c r="V74" i="16"/>
  <c r="W74" i="16" s="1"/>
  <c r="X74" i="16"/>
  <c r="Y74" i="16"/>
  <c r="AA74" i="16"/>
  <c r="AB74" i="16" s="1"/>
  <c r="AC74" i="16"/>
  <c r="AD74" i="16" s="1"/>
  <c r="AE74" i="16"/>
  <c r="AF74" i="16" s="1"/>
  <c r="T75" i="16"/>
  <c r="U75" i="16"/>
  <c r="V75" i="16"/>
  <c r="W75" i="16" s="1"/>
  <c r="X75" i="16"/>
  <c r="Y75" i="16" s="1"/>
  <c r="AA75" i="16"/>
  <c r="AB75" i="16" s="1"/>
  <c r="AC75" i="16"/>
  <c r="AD75" i="16"/>
  <c r="AE75" i="16"/>
  <c r="AF75" i="16" s="1"/>
  <c r="T76" i="16"/>
  <c r="V76" i="16"/>
  <c r="W76" i="16"/>
  <c r="X76" i="16"/>
  <c r="Y76" i="16"/>
  <c r="AA76" i="16"/>
  <c r="AB76" i="16"/>
  <c r="AC76" i="16"/>
  <c r="AD76" i="16"/>
  <c r="AE76" i="16"/>
  <c r="AF76" i="16"/>
  <c r="T77" i="16"/>
  <c r="U77" i="16"/>
  <c r="V77" i="16"/>
  <c r="W77" i="16"/>
  <c r="X77" i="16"/>
  <c r="Y77" i="16"/>
  <c r="AA77" i="16"/>
  <c r="AB77" i="16"/>
  <c r="AC77" i="16"/>
  <c r="AD77" i="16"/>
  <c r="AE77" i="16"/>
  <c r="AF77" i="16"/>
  <c r="T78" i="16"/>
  <c r="U78" i="16"/>
  <c r="V78" i="16"/>
  <c r="W78" i="16"/>
  <c r="X78" i="16"/>
  <c r="Y78" i="16"/>
  <c r="AA78" i="16"/>
  <c r="AB78" i="16"/>
  <c r="AC78" i="16"/>
  <c r="AD78" i="16"/>
  <c r="AE78" i="16"/>
  <c r="AF78" i="16"/>
  <c r="AE53" i="16"/>
  <c r="AF53" i="16"/>
  <c r="AC53" i="16"/>
  <c r="AD53" i="16"/>
  <c r="AA53" i="16"/>
  <c r="AB53" i="16"/>
  <c r="X53" i="16"/>
  <c r="Y53" i="16"/>
  <c r="V53" i="16"/>
  <c r="W53" i="16"/>
  <c r="T53" i="16"/>
  <c r="AA41" i="16"/>
  <c r="AB41" i="16" s="1"/>
  <c r="AC41" i="16"/>
  <c r="AD41" i="16"/>
  <c r="AE41" i="16"/>
  <c r="AF41" i="16" s="1"/>
  <c r="AA42" i="16"/>
  <c r="AB42" i="16" s="1"/>
  <c r="AC42" i="16"/>
  <c r="AD42" i="16" s="1"/>
  <c r="AE42" i="16"/>
  <c r="AF42" i="16"/>
  <c r="AA43" i="16"/>
  <c r="AC43" i="16"/>
  <c r="AD43" i="16"/>
  <c r="AE43" i="16"/>
  <c r="AF43" i="16" s="1"/>
  <c r="AA44" i="16"/>
  <c r="AB44" i="16"/>
  <c r="AC44" i="16"/>
  <c r="AD44" i="16" s="1"/>
  <c r="AE44" i="16"/>
  <c r="AF44" i="16"/>
  <c r="AA45" i="16"/>
  <c r="AB45" i="16" s="1"/>
  <c r="AC45" i="16"/>
  <c r="AD45" i="16"/>
  <c r="AE45" i="16"/>
  <c r="AF45" i="16" s="1"/>
  <c r="AA46" i="16"/>
  <c r="AB46" i="16"/>
  <c r="AC46" i="16"/>
  <c r="AD46" i="16" s="1"/>
  <c r="AE46" i="16"/>
  <c r="AF46" i="16"/>
  <c r="AA47" i="16"/>
  <c r="AB47" i="16" s="1"/>
  <c r="AC47" i="16"/>
  <c r="AD47" i="16"/>
  <c r="AE47" i="16"/>
  <c r="AF47" i="16" s="1"/>
  <c r="AA48" i="16"/>
  <c r="AB48" i="16"/>
  <c r="AC48" i="16"/>
  <c r="AD48" i="16" s="1"/>
  <c r="AE48" i="16"/>
  <c r="AF48" i="16"/>
  <c r="AA49" i="16"/>
  <c r="AB49" i="16" s="1"/>
  <c r="AC49" i="16"/>
  <c r="AD49" i="16"/>
  <c r="AE49" i="16"/>
  <c r="AF49" i="16" s="1"/>
  <c r="AA50" i="16"/>
  <c r="AB50" i="16"/>
  <c r="AC50" i="16"/>
  <c r="AD50" i="16" s="1"/>
  <c r="AE50" i="16"/>
  <c r="AF50" i="16"/>
  <c r="AE40" i="16"/>
  <c r="AF40" i="16" s="1"/>
  <c r="AC40" i="16"/>
  <c r="AD40" i="16"/>
  <c r="AA40" i="16"/>
  <c r="AB40" i="16" s="1"/>
  <c r="AC13" i="16"/>
  <c r="AD13" i="16" s="1"/>
  <c r="AA14" i="16"/>
  <c r="AB14" i="16" s="1"/>
  <c r="AC14" i="16"/>
  <c r="AD14" i="16"/>
  <c r="AE14" i="16"/>
  <c r="AF14" i="16" s="1"/>
  <c r="AA15" i="16"/>
  <c r="AB15" i="16" s="1"/>
  <c r="AC15" i="16"/>
  <c r="AD15" i="16" s="1"/>
  <c r="AE15" i="16"/>
  <c r="AF15" i="16" s="1"/>
  <c r="AF12" i="16" s="1"/>
  <c r="AA16" i="16"/>
  <c r="AB16" i="16" s="1"/>
  <c r="AC16" i="16"/>
  <c r="AD16" i="16" s="1"/>
  <c r="AE16" i="16"/>
  <c r="AF16" i="16" s="1"/>
  <c r="AA17" i="16"/>
  <c r="AB17" i="16" s="1"/>
  <c r="AC17" i="16"/>
  <c r="AD17" i="16" s="1"/>
  <c r="AE17" i="16"/>
  <c r="AF17" i="16" s="1"/>
  <c r="AA18" i="16"/>
  <c r="AB18" i="16" s="1"/>
  <c r="AC18" i="16"/>
  <c r="AD18" i="16" s="1"/>
  <c r="AE18" i="16"/>
  <c r="AF18" i="16" s="1"/>
  <c r="AA19" i="16"/>
  <c r="AB19" i="16" s="1"/>
  <c r="AC19" i="16"/>
  <c r="AD19" i="16" s="1"/>
  <c r="AC20" i="16"/>
  <c r="AD20" i="16" s="1"/>
  <c r="AC21" i="16"/>
  <c r="AD21" i="16" s="1"/>
  <c r="AC22" i="16"/>
  <c r="AD22" i="16" s="1"/>
  <c r="AC23" i="16"/>
  <c r="AD23" i="16" s="1"/>
  <c r="AC24" i="16"/>
  <c r="AD24" i="16" s="1"/>
  <c r="AC25" i="16"/>
  <c r="AD25" i="16" s="1"/>
  <c r="AC26" i="16"/>
  <c r="AD26" i="16" s="1"/>
  <c r="AC27" i="16"/>
  <c r="AD27" i="16" s="1"/>
  <c r="AC28" i="16"/>
  <c r="AD28" i="16" s="1"/>
  <c r="AC29" i="16"/>
  <c r="AD29" i="16" s="1"/>
  <c r="AC30" i="16"/>
  <c r="AD30" i="16" s="1"/>
  <c r="AC31" i="16"/>
  <c r="AD31" i="16" s="1"/>
  <c r="AC32" i="16"/>
  <c r="AD32" i="16" s="1"/>
  <c r="AC33" i="16"/>
  <c r="AD33" i="16" s="1"/>
  <c r="AC34" i="16"/>
  <c r="AD34" i="16" s="1"/>
  <c r="AC35" i="16"/>
  <c r="AD35" i="16" s="1"/>
  <c r="AC36" i="16"/>
  <c r="AD36" i="16" s="1"/>
  <c r="AC37" i="16"/>
  <c r="AD37" i="16" s="1"/>
  <c r="AE19" i="16"/>
  <c r="AF19" i="16"/>
  <c r="AA20" i="16"/>
  <c r="AB20" i="16"/>
  <c r="AE20" i="16"/>
  <c r="AF20" i="16"/>
  <c r="AA21" i="16"/>
  <c r="AB21" i="16"/>
  <c r="AE21" i="16"/>
  <c r="AF21" i="16"/>
  <c r="AA22" i="16"/>
  <c r="AB22" i="16"/>
  <c r="AE22" i="16"/>
  <c r="AF22" i="16"/>
  <c r="AA23" i="16"/>
  <c r="AB23" i="16"/>
  <c r="AE23" i="16"/>
  <c r="AF23" i="16"/>
  <c r="AA24" i="16"/>
  <c r="AB24" i="16"/>
  <c r="AE24" i="16"/>
  <c r="AF24" i="16"/>
  <c r="AA25" i="16"/>
  <c r="AB25" i="16"/>
  <c r="AE25" i="16"/>
  <c r="AF25" i="16"/>
  <c r="AA26" i="16"/>
  <c r="AB26" i="16"/>
  <c r="AE26" i="16"/>
  <c r="AF26" i="16"/>
  <c r="AA27" i="16"/>
  <c r="AB27" i="16"/>
  <c r="AE27" i="16"/>
  <c r="AF27" i="16"/>
  <c r="AA28" i="16"/>
  <c r="AB28" i="16"/>
  <c r="AE28" i="16"/>
  <c r="AF28" i="16"/>
  <c r="AA29" i="16"/>
  <c r="AB29" i="16"/>
  <c r="AE29" i="16"/>
  <c r="AF29" i="16"/>
  <c r="AA30" i="16"/>
  <c r="AB30" i="16"/>
  <c r="AE30" i="16"/>
  <c r="AF30" i="16"/>
  <c r="AA31" i="16"/>
  <c r="AB31" i="16"/>
  <c r="AE31" i="16"/>
  <c r="AF31" i="16"/>
  <c r="AA32" i="16"/>
  <c r="AB32" i="16"/>
  <c r="AE32" i="16"/>
  <c r="AF32" i="16"/>
  <c r="AA33" i="16"/>
  <c r="AB33" i="16"/>
  <c r="AE33" i="16"/>
  <c r="AF33" i="16"/>
  <c r="AA34" i="16"/>
  <c r="AB34" i="16"/>
  <c r="AE34" i="16"/>
  <c r="AF34" i="16"/>
  <c r="AA35" i="16"/>
  <c r="AB35" i="16"/>
  <c r="AE35" i="16"/>
  <c r="AF35" i="16"/>
  <c r="AA36" i="16"/>
  <c r="AB36" i="16"/>
  <c r="AE36" i="16"/>
  <c r="AF36" i="16"/>
  <c r="AA37" i="16"/>
  <c r="AB37" i="16"/>
  <c r="AE37" i="16"/>
  <c r="AF37" i="16"/>
  <c r="AE13" i="16"/>
  <c r="AF13" i="16"/>
  <c r="AA13" i="16"/>
  <c r="AB13" i="16"/>
  <c r="T41" i="16"/>
  <c r="V41" i="16"/>
  <c r="W41" i="16" s="1"/>
  <c r="X41" i="16"/>
  <c r="Y41" i="16" s="1"/>
  <c r="T42" i="16"/>
  <c r="V42" i="16"/>
  <c r="W42" i="16"/>
  <c r="X42" i="16"/>
  <c r="Y42" i="16"/>
  <c r="T43" i="16"/>
  <c r="V43" i="16"/>
  <c r="W43" i="16" s="1"/>
  <c r="X43" i="16"/>
  <c r="Y43" i="16" s="1"/>
  <c r="T44" i="16"/>
  <c r="V44" i="16"/>
  <c r="W44" i="16"/>
  <c r="X44" i="16"/>
  <c r="Y44" i="16"/>
  <c r="T45" i="16"/>
  <c r="V45" i="16"/>
  <c r="W45" i="16" s="1"/>
  <c r="X45" i="16"/>
  <c r="Y45" i="16" s="1"/>
  <c r="T46" i="16"/>
  <c r="V46" i="16"/>
  <c r="W46" i="16"/>
  <c r="X46" i="16"/>
  <c r="Y46" i="16"/>
  <c r="T47" i="16"/>
  <c r="V47" i="16"/>
  <c r="W47" i="16" s="1"/>
  <c r="X47" i="16"/>
  <c r="Y47" i="16" s="1"/>
  <c r="T48" i="16"/>
  <c r="V48" i="16"/>
  <c r="W48" i="16"/>
  <c r="X48" i="16"/>
  <c r="Y48" i="16"/>
  <c r="T49" i="16"/>
  <c r="V49" i="16"/>
  <c r="W49" i="16" s="1"/>
  <c r="X49" i="16"/>
  <c r="Y49" i="16" s="1"/>
  <c r="T50" i="16"/>
  <c r="V50" i="16"/>
  <c r="W50" i="16"/>
  <c r="X50" i="16"/>
  <c r="Y50" i="16"/>
  <c r="X40" i="16"/>
  <c r="Y40" i="16"/>
  <c r="V40" i="16"/>
  <c r="W40" i="16"/>
  <c r="T40" i="16"/>
  <c r="X14" i="16"/>
  <c r="Y14" i="16" s="1"/>
  <c r="X15" i="16"/>
  <c r="Y15" i="16" s="1"/>
  <c r="X16" i="16"/>
  <c r="Y16" i="16" s="1"/>
  <c r="X17" i="16"/>
  <c r="Y17" i="16" s="1"/>
  <c r="X18" i="16"/>
  <c r="Y18" i="16" s="1"/>
  <c r="X19" i="16"/>
  <c r="Y19" i="16" s="1"/>
  <c r="X20" i="16"/>
  <c r="Y20" i="16" s="1"/>
  <c r="X21" i="16"/>
  <c r="Y21" i="16" s="1"/>
  <c r="X22" i="16"/>
  <c r="Y22" i="16" s="1"/>
  <c r="X23" i="16"/>
  <c r="Y23" i="16"/>
  <c r="X24" i="16"/>
  <c r="Y24" i="16"/>
  <c r="X25" i="16"/>
  <c r="Y25" i="16"/>
  <c r="X26" i="16"/>
  <c r="Y26" i="16"/>
  <c r="X27" i="16"/>
  <c r="Y27" i="16"/>
  <c r="X28" i="16"/>
  <c r="Y28" i="16"/>
  <c r="X29" i="16"/>
  <c r="Y29" i="16"/>
  <c r="X30" i="16"/>
  <c r="Y30" i="16"/>
  <c r="X31" i="16"/>
  <c r="Y31" i="16"/>
  <c r="X32" i="16"/>
  <c r="Y32" i="16"/>
  <c r="X33" i="16"/>
  <c r="Y33" i="16"/>
  <c r="X34" i="16"/>
  <c r="Y34" i="16"/>
  <c r="X35" i="16"/>
  <c r="Y35" i="16"/>
  <c r="X36" i="16"/>
  <c r="Y36" i="16"/>
  <c r="X37" i="16"/>
  <c r="Y37" i="16"/>
  <c r="X13" i="16"/>
  <c r="Y13" i="16"/>
  <c r="V21" i="16"/>
  <c r="W21" i="16"/>
  <c r="V22" i="16"/>
  <c r="W22" i="16"/>
  <c r="V23" i="16"/>
  <c r="W23" i="16"/>
  <c r="V24" i="16"/>
  <c r="W24" i="16"/>
  <c r="V25" i="16"/>
  <c r="V26" i="16"/>
  <c r="W26" i="16" s="1"/>
  <c r="V27" i="16"/>
  <c r="W27" i="16"/>
  <c r="V28" i="16"/>
  <c r="V29" i="16"/>
  <c r="V30" i="16"/>
  <c r="V31" i="16"/>
  <c r="W31" i="16" s="1"/>
  <c r="V32" i="16"/>
  <c r="W32" i="16" s="1"/>
  <c r="V33" i="16"/>
  <c r="V34" i="16"/>
  <c r="V35" i="16"/>
  <c r="W35" i="16" s="1"/>
  <c r="V36" i="16"/>
  <c r="W36" i="16"/>
  <c r="V37" i="16"/>
  <c r="W37" i="16"/>
  <c r="V13" i="16"/>
  <c r="W13" i="16"/>
  <c r="V14" i="16"/>
  <c r="W14" i="16"/>
  <c r="V15" i="16"/>
  <c r="V16" i="16"/>
  <c r="W16" i="16" s="1"/>
  <c r="V17" i="16"/>
  <c r="V18" i="16"/>
  <c r="W18" i="16"/>
  <c r="V19" i="16"/>
  <c r="W19" i="16"/>
  <c r="V20" i="16"/>
  <c r="T14" i="16"/>
  <c r="U14" i="16" s="1"/>
  <c r="T15" i="16"/>
  <c r="T16" i="16"/>
  <c r="T17" i="16"/>
  <c r="T18" i="16"/>
  <c r="T19" i="16"/>
  <c r="T20" i="16"/>
  <c r="U20" i="16" s="1"/>
  <c r="T21" i="16"/>
  <c r="T22" i="16"/>
  <c r="T23" i="16"/>
  <c r="T24" i="16"/>
  <c r="T25" i="16"/>
  <c r="T26" i="16"/>
  <c r="T27" i="16"/>
  <c r="T28" i="16"/>
  <c r="U28" i="16"/>
  <c r="T29" i="16"/>
  <c r="U29" i="16"/>
  <c r="T30" i="16"/>
  <c r="U30" i="16"/>
  <c r="T31" i="16"/>
  <c r="T32" i="16"/>
  <c r="T33" i="16"/>
  <c r="U33" i="16"/>
  <c r="T34" i="16"/>
  <c r="T35" i="16"/>
  <c r="T36" i="16"/>
  <c r="T37" i="16"/>
  <c r="T13" i="16"/>
  <c r="Y640" i="16"/>
  <c r="Y636" i="16"/>
  <c r="W632" i="16"/>
  <c r="Y632" i="16"/>
  <c r="Y376" i="16"/>
  <c r="W34" i="16"/>
  <c r="U25" i="16"/>
  <c r="W17" i="16"/>
  <c r="W15" i="16"/>
  <c r="Y455" i="16"/>
  <c r="Y644" i="16"/>
  <c r="AD640" i="16"/>
  <c r="AD636" i="16"/>
  <c r="AF632" i="16"/>
  <c r="AD632" i="16"/>
  <c r="AF644" i="16"/>
  <c r="AF583" i="16"/>
  <c r="AD380" i="16"/>
  <c r="AF353" i="16"/>
  <c r="O648" i="16"/>
  <c r="G648" i="16"/>
  <c r="O647" i="16"/>
  <c r="G647" i="16"/>
  <c r="G646" i="16"/>
  <c r="O646" i="16"/>
  <c r="O641" i="16"/>
  <c r="J640" i="16"/>
  <c r="G641" i="16"/>
  <c r="R640" i="16"/>
  <c r="O629" i="16"/>
  <c r="U629" i="16"/>
  <c r="G629" i="16"/>
  <c r="O628" i="16"/>
  <c r="AG628" i="16"/>
  <c r="G628" i="16"/>
  <c r="O627" i="16"/>
  <c r="AG627" i="16"/>
  <c r="AH627" i="16" s="1"/>
  <c r="G627" i="16"/>
  <c r="O626" i="16"/>
  <c r="AG626" i="16"/>
  <c r="AH626" i="16" s="1"/>
  <c r="G626" i="16"/>
  <c r="O625" i="16"/>
  <c r="AG625" i="16"/>
  <c r="AH625" i="16" s="1"/>
  <c r="G625" i="16"/>
  <c r="O624" i="16"/>
  <c r="P624" i="16"/>
  <c r="G624" i="16"/>
  <c r="O623" i="16"/>
  <c r="G623" i="16"/>
  <c r="O622" i="16"/>
  <c r="G622" i="16"/>
  <c r="O621" i="16"/>
  <c r="G621" i="16"/>
  <c r="O620" i="16"/>
  <c r="P620" i="16"/>
  <c r="G620" i="16"/>
  <c r="O619" i="16"/>
  <c r="P619" i="16"/>
  <c r="G619" i="16"/>
  <c r="O618" i="16"/>
  <c r="U618" i="16"/>
  <c r="G618" i="16"/>
  <c r="O617" i="16"/>
  <c r="G617" i="16"/>
  <c r="O616" i="16"/>
  <c r="G616" i="16"/>
  <c r="O615" i="16"/>
  <c r="G615" i="16"/>
  <c r="O614" i="16"/>
  <c r="AG614" i="16"/>
  <c r="G614" i="16"/>
  <c r="O613" i="16"/>
  <c r="AG613" i="16"/>
  <c r="AH613" i="16" s="1"/>
  <c r="P613" i="16"/>
  <c r="G613" i="16"/>
  <c r="O612" i="16"/>
  <c r="G612" i="16"/>
  <c r="O611" i="16"/>
  <c r="G611" i="16"/>
  <c r="O610" i="16"/>
  <c r="G610" i="16"/>
  <c r="O609" i="16"/>
  <c r="G609" i="16"/>
  <c r="O608" i="16"/>
  <c r="G608" i="16"/>
  <c r="R607" i="16"/>
  <c r="O605" i="16"/>
  <c r="G605" i="16"/>
  <c r="O604" i="16"/>
  <c r="AG604" i="16"/>
  <c r="AH604" i="16"/>
  <c r="G604" i="16"/>
  <c r="O603" i="16"/>
  <c r="G603" i="16"/>
  <c r="O602" i="16"/>
  <c r="G602" i="16"/>
  <c r="O601" i="16"/>
  <c r="AG601" i="16"/>
  <c r="AH601" i="16" s="1"/>
  <c r="G601" i="16"/>
  <c r="O600" i="16"/>
  <c r="G600" i="16"/>
  <c r="O599" i="16"/>
  <c r="G599" i="16"/>
  <c r="O598" i="16"/>
  <c r="P598" i="16"/>
  <c r="G598" i="16"/>
  <c r="O597" i="16"/>
  <c r="G597" i="16"/>
  <c r="O596" i="16"/>
  <c r="P596" i="16"/>
  <c r="G596" i="16"/>
  <c r="O595" i="16"/>
  <c r="G595" i="16"/>
  <c r="O594" i="16"/>
  <c r="G594" i="16"/>
  <c r="O593" i="16"/>
  <c r="AG593" i="16"/>
  <c r="AH593" i="16"/>
  <c r="G593" i="16"/>
  <c r="O592" i="16"/>
  <c r="AG592" i="16"/>
  <c r="U592" i="16"/>
  <c r="G592" i="16"/>
  <c r="O591" i="16"/>
  <c r="G591" i="16"/>
  <c r="O590" i="16"/>
  <c r="G590" i="16"/>
  <c r="O589" i="16"/>
  <c r="G589" i="16"/>
  <c r="O588" i="16"/>
  <c r="G588" i="16"/>
  <c r="O587" i="16"/>
  <c r="AG587" i="16"/>
  <c r="AH587" i="16"/>
  <c r="G587" i="16"/>
  <c r="O586" i="16"/>
  <c r="G586" i="16"/>
  <c r="O585" i="16"/>
  <c r="G585" i="16"/>
  <c r="O584" i="16"/>
  <c r="G584" i="16"/>
  <c r="R583" i="16"/>
  <c r="O581" i="16"/>
  <c r="AG581" i="16"/>
  <c r="AH581" i="16"/>
  <c r="G581" i="16"/>
  <c r="O580" i="16"/>
  <c r="G580" i="16"/>
  <c r="O579" i="16"/>
  <c r="AG579" i="16"/>
  <c r="AH579" i="16"/>
  <c r="G579" i="16"/>
  <c r="O578" i="16"/>
  <c r="P578" i="16"/>
  <c r="AG578" i="16"/>
  <c r="AH578" i="16" s="1"/>
  <c r="U578" i="16"/>
  <c r="G578" i="16"/>
  <c r="O577" i="16"/>
  <c r="AG577" i="16"/>
  <c r="AH577" i="16"/>
  <c r="G577" i="16"/>
  <c r="O576" i="16"/>
  <c r="G576" i="16"/>
  <c r="O575" i="16"/>
  <c r="G575" i="16"/>
  <c r="O574" i="16"/>
  <c r="G574" i="16"/>
  <c r="O573" i="16"/>
  <c r="G573" i="16"/>
  <c r="O572" i="16"/>
  <c r="J554" i="16"/>
  <c r="G572" i="16"/>
  <c r="O571" i="16"/>
  <c r="G571" i="16"/>
  <c r="O570" i="16"/>
  <c r="U570" i="16"/>
  <c r="G570" i="16"/>
  <c r="O569" i="16"/>
  <c r="AG569" i="16"/>
  <c r="AH569" i="16" s="1"/>
  <c r="G569" i="16"/>
  <c r="O568" i="16"/>
  <c r="G568" i="16"/>
  <c r="O567" i="16"/>
  <c r="G567" i="16"/>
  <c r="O566" i="16"/>
  <c r="G566" i="16"/>
  <c r="O565" i="16"/>
  <c r="G565" i="16"/>
  <c r="O564" i="16"/>
  <c r="P564" i="16"/>
  <c r="G564" i="16"/>
  <c r="O563" i="16"/>
  <c r="AG563" i="16"/>
  <c r="AH563" i="16"/>
  <c r="P563" i="16"/>
  <c r="G563" i="16"/>
  <c r="O562" i="16"/>
  <c r="G562" i="16"/>
  <c r="O561" i="16"/>
  <c r="P561" i="16"/>
  <c r="G561" i="16"/>
  <c r="O560" i="16"/>
  <c r="AG560" i="16"/>
  <c r="U560" i="16"/>
  <c r="G560" i="16"/>
  <c r="O559" i="16"/>
  <c r="AG559" i="16"/>
  <c r="AH559" i="16"/>
  <c r="G559" i="16"/>
  <c r="O558" i="16"/>
  <c r="G558" i="16"/>
  <c r="O557" i="16"/>
  <c r="G557" i="16"/>
  <c r="O556" i="16"/>
  <c r="P556" i="16"/>
  <c r="G556" i="16"/>
  <c r="O555" i="16"/>
  <c r="AG555" i="16"/>
  <c r="G555" i="16"/>
  <c r="R554" i="16"/>
  <c r="O552" i="16"/>
  <c r="P552" i="16"/>
  <c r="G552" i="16"/>
  <c r="O551" i="16"/>
  <c r="G551" i="16"/>
  <c r="O550" i="16"/>
  <c r="J526" i="16"/>
  <c r="G550" i="16"/>
  <c r="O549" i="16"/>
  <c r="G549" i="16"/>
  <c r="O548" i="16"/>
  <c r="G548" i="16"/>
  <c r="O547" i="16"/>
  <c r="AG547" i="16"/>
  <c r="AH547" i="16"/>
  <c r="G547" i="16"/>
  <c r="O546" i="16"/>
  <c r="P546" i="16"/>
  <c r="G546" i="16"/>
  <c r="O545" i="16"/>
  <c r="G545" i="16"/>
  <c r="O544" i="16"/>
  <c r="AG544" i="16"/>
  <c r="AH544" i="16" s="1"/>
  <c r="G544" i="16"/>
  <c r="O543" i="16"/>
  <c r="AG543" i="16"/>
  <c r="AH543" i="16" s="1"/>
  <c r="G543" i="16"/>
  <c r="O542" i="16"/>
  <c r="G542" i="16"/>
  <c r="O541" i="16"/>
  <c r="G541" i="16"/>
  <c r="O540" i="16"/>
  <c r="AG540" i="16"/>
  <c r="AH540" i="16" s="1"/>
  <c r="G540" i="16"/>
  <c r="O539" i="16"/>
  <c r="G539" i="16"/>
  <c r="O538" i="16"/>
  <c r="G538" i="16"/>
  <c r="O537" i="16"/>
  <c r="P537" i="16"/>
  <c r="G537" i="16"/>
  <c r="O536" i="16"/>
  <c r="AG536" i="16"/>
  <c r="AH536" i="16"/>
  <c r="G536" i="16"/>
  <c r="O535" i="16"/>
  <c r="G535" i="16"/>
  <c r="O534" i="16"/>
  <c r="G534" i="16"/>
  <c r="O533" i="16"/>
  <c r="G533" i="16"/>
  <c r="O532" i="16"/>
  <c r="AG532" i="16"/>
  <c r="AH532" i="16" s="1"/>
  <c r="G532" i="16"/>
  <c r="O531" i="16"/>
  <c r="G531" i="16"/>
  <c r="O530" i="16"/>
  <c r="U530" i="16"/>
  <c r="G530" i="16"/>
  <c r="O529" i="16"/>
  <c r="AG529" i="16"/>
  <c r="AH529" i="16"/>
  <c r="G529" i="16"/>
  <c r="O528" i="16"/>
  <c r="G528" i="16"/>
  <c r="O527" i="16"/>
  <c r="AG527" i="16"/>
  <c r="AH527" i="16"/>
  <c r="G527" i="16"/>
  <c r="R526" i="16"/>
  <c r="AG533" i="16"/>
  <c r="AH533" i="16"/>
  <c r="AG562" i="16"/>
  <c r="AH562" i="16"/>
  <c r="P566" i="16"/>
  <c r="AG566" i="16"/>
  <c r="AH566" i="16" s="1"/>
  <c r="P587" i="16"/>
  <c r="AG595" i="16"/>
  <c r="AH595" i="16"/>
  <c r="P612" i="16"/>
  <c r="AG612" i="16"/>
  <c r="AH612" i="16" s="1"/>
  <c r="AG620" i="16"/>
  <c r="AH620" i="16" s="1"/>
  <c r="AH628" i="16"/>
  <c r="P530" i="16"/>
  <c r="AG530" i="16"/>
  <c r="AH530" i="16" s="1"/>
  <c r="P542" i="16"/>
  <c r="AG542" i="16"/>
  <c r="AH542" i="16"/>
  <c r="AG546" i="16"/>
  <c r="AH546" i="16"/>
  <c r="P555" i="16"/>
  <c r="AH555" i="16"/>
  <c r="AG567" i="16"/>
  <c r="AH567" i="16" s="1"/>
  <c r="AG588" i="16"/>
  <c r="AH588" i="16" s="1"/>
  <c r="P592" i="16"/>
  <c r="AH592" i="16"/>
  <c r="AG596" i="16"/>
  <c r="AH596" i="16" s="1"/>
  <c r="P609" i="16"/>
  <c r="AG609" i="16"/>
  <c r="AH609" i="16"/>
  <c r="AG621" i="16"/>
  <c r="AH621" i="16"/>
  <c r="P629" i="16"/>
  <c r="AG629" i="16"/>
  <c r="AH629" i="16" s="1"/>
  <c r="P532" i="16"/>
  <c r="AG535" i="16"/>
  <c r="AH535" i="16"/>
  <c r="AG551" i="16"/>
  <c r="AH551" i="16"/>
  <c r="AG556" i="16"/>
  <c r="AH556" i="16"/>
  <c r="P560" i="16"/>
  <c r="AH560" i="16"/>
  <c r="AG564" i="16"/>
  <c r="AH564" i="16"/>
  <c r="P580" i="16"/>
  <c r="AG580" i="16"/>
  <c r="AH580" i="16" s="1"/>
  <c r="P589" i="16"/>
  <c r="AG597" i="16"/>
  <c r="AH597" i="16"/>
  <c r="P614" i="16"/>
  <c r="AH614" i="16"/>
  <c r="P618" i="16"/>
  <c r="AG618" i="16"/>
  <c r="AH618" i="16"/>
  <c r="P626" i="16"/>
  <c r="P544" i="16"/>
  <c r="AG561" i="16"/>
  <c r="AH561" i="16"/>
  <c r="P569" i="16"/>
  <c r="P573" i="16"/>
  <c r="AG573" i="16"/>
  <c r="AH573" i="16"/>
  <c r="P581" i="16"/>
  <c r="AG590" i="16"/>
  <c r="AH590" i="16" s="1"/>
  <c r="AG619" i="16"/>
  <c r="AH619" i="16" s="1"/>
  <c r="AG623" i="16"/>
  <c r="AH623" i="16" s="1"/>
  <c r="U564" i="16"/>
  <c r="P600" i="16"/>
  <c r="U580" i="16"/>
  <c r="G645" i="16"/>
  <c r="R644" i="16"/>
  <c r="O645" i="16"/>
  <c r="G637" i="16"/>
  <c r="R636" i="16"/>
  <c r="O637" i="16"/>
  <c r="J636" i="16"/>
  <c r="R632" i="16"/>
  <c r="O633" i="16"/>
  <c r="R503" i="16"/>
  <c r="G633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O519" i="16"/>
  <c r="O520" i="16"/>
  <c r="O521" i="16"/>
  <c r="O522" i="16"/>
  <c r="O518" i="16"/>
  <c r="O517" i="16"/>
  <c r="O516" i="16"/>
  <c r="O515" i="16"/>
  <c r="U515" i="16"/>
  <c r="O514" i="16"/>
  <c r="U514" i="16"/>
  <c r="O513" i="16"/>
  <c r="O512" i="16"/>
  <c r="U512" i="16"/>
  <c r="O511" i="16"/>
  <c r="O510" i="16"/>
  <c r="O509" i="16"/>
  <c r="O508" i="16"/>
  <c r="O507" i="16"/>
  <c r="O506" i="16"/>
  <c r="O505" i="16"/>
  <c r="O504" i="16"/>
  <c r="G504" i="16"/>
  <c r="O501" i="16"/>
  <c r="O500" i="16"/>
  <c r="O499" i="16"/>
  <c r="O498" i="16"/>
  <c r="O497" i="16"/>
  <c r="O496" i="16"/>
  <c r="O495" i="16"/>
  <c r="O494" i="16"/>
  <c r="O493" i="16"/>
  <c r="O492" i="16"/>
  <c r="O491" i="16"/>
  <c r="O490" i="16"/>
  <c r="O489" i="16"/>
  <c r="U489" i="16"/>
  <c r="O488" i="16"/>
  <c r="O487" i="16"/>
  <c r="O486" i="16"/>
  <c r="O485" i="16"/>
  <c r="O484" i="16"/>
  <c r="O483" i="16"/>
  <c r="O482" i="16"/>
  <c r="O481" i="16"/>
  <c r="O480" i="16"/>
  <c r="R479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480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R455" i="16"/>
  <c r="O470" i="16"/>
  <c r="O471" i="16"/>
  <c r="O472" i="16"/>
  <c r="O473" i="16"/>
  <c r="O474" i="16"/>
  <c r="O475" i="16"/>
  <c r="O476" i="16"/>
  <c r="O477" i="16"/>
  <c r="O469" i="16"/>
  <c r="O468" i="16"/>
  <c r="O467" i="16"/>
  <c r="O466" i="16"/>
  <c r="O465" i="16"/>
  <c r="O464" i="16"/>
  <c r="O463" i="16"/>
  <c r="O462" i="16"/>
  <c r="U462" i="16"/>
  <c r="O461" i="16"/>
  <c r="O460" i="16"/>
  <c r="O459" i="16"/>
  <c r="O458" i="16"/>
  <c r="O457" i="16"/>
  <c r="O456" i="16"/>
  <c r="G456" i="16"/>
  <c r="R426" i="16"/>
  <c r="O450" i="16"/>
  <c r="O451" i="16"/>
  <c r="O452" i="16"/>
  <c r="O453" i="16"/>
  <c r="O449" i="16"/>
  <c r="O448" i="16"/>
  <c r="O447" i="16"/>
  <c r="U447" i="16"/>
  <c r="O446" i="16"/>
  <c r="U446" i="16"/>
  <c r="O445" i="16"/>
  <c r="O444" i="16"/>
  <c r="O443" i="16"/>
  <c r="O442" i="16"/>
  <c r="O441" i="16"/>
  <c r="O440" i="16"/>
  <c r="O439" i="16"/>
  <c r="O438" i="16"/>
  <c r="O437" i="16"/>
  <c r="O436" i="16"/>
  <c r="O435" i="16"/>
  <c r="O434" i="16"/>
  <c r="O433" i="16"/>
  <c r="O432" i="16"/>
  <c r="O431" i="16"/>
  <c r="O430" i="16"/>
  <c r="O429" i="16"/>
  <c r="O428" i="16"/>
  <c r="O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27" i="16"/>
  <c r="R398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399" i="16"/>
  <c r="U414" i="16"/>
  <c r="O414" i="16"/>
  <c r="O415" i="16"/>
  <c r="O416" i="16"/>
  <c r="O417" i="16"/>
  <c r="O418" i="16"/>
  <c r="O419" i="16"/>
  <c r="O420" i="16"/>
  <c r="O421" i="16"/>
  <c r="O422" i="16"/>
  <c r="O423" i="16"/>
  <c r="O424" i="16"/>
  <c r="O413" i="16"/>
  <c r="O412" i="16"/>
  <c r="O411" i="16"/>
  <c r="O410" i="16"/>
  <c r="O409" i="16"/>
  <c r="U409" i="16"/>
  <c r="O408" i="16"/>
  <c r="O407" i="16"/>
  <c r="O406" i="16"/>
  <c r="O405" i="16"/>
  <c r="O404" i="16"/>
  <c r="O403" i="16"/>
  <c r="O402" i="16"/>
  <c r="O401" i="16"/>
  <c r="O400" i="16"/>
  <c r="O399" i="16"/>
  <c r="U493" i="16"/>
  <c r="AF607" i="16"/>
  <c r="AB640" i="16"/>
  <c r="J644" i="16"/>
  <c r="U600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78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55" i="16"/>
  <c r="G356" i="16"/>
  <c r="G345" i="16"/>
  <c r="G346" i="16"/>
  <c r="G347" i="16"/>
  <c r="G348" i="16"/>
  <c r="G349" i="16"/>
  <c r="G350" i="16"/>
  <c r="G351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81" i="16"/>
  <c r="G377" i="16"/>
  <c r="G361" i="16"/>
  <c r="G354" i="16"/>
  <c r="G344" i="16"/>
  <c r="G323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286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AB636" i="16"/>
  <c r="AB632" i="16"/>
  <c r="AB607" i="16"/>
  <c r="G257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25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189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30" i="16"/>
  <c r="G127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81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53" i="16"/>
  <c r="G50" i="16"/>
  <c r="G49" i="16"/>
  <c r="G48" i="16"/>
  <c r="G47" i="16"/>
  <c r="G46" i="16"/>
  <c r="G45" i="16"/>
  <c r="G44" i="16"/>
  <c r="G43" i="16"/>
  <c r="G42" i="16"/>
  <c r="G41" i="16"/>
  <c r="G40" i="16"/>
  <c r="O16" i="16"/>
  <c r="R12" i="16"/>
  <c r="R39" i="16"/>
  <c r="R52" i="16"/>
  <c r="R80" i="16"/>
  <c r="R126" i="16"/>
  <c r="R129" i="16"/>
  <c r="R188" i="16"/>
  <c r="R224" i="16"/>
  <c r="R256" i="16"/>
  <c r="R285" i="16"/>
  <c r="R322" i="16"/>
  <c r="R343" i="16"/>
  <c r="R353" i="16"/>
  <c r="R360" i="16"/>
  <c r="R376" i="16"/>
  <c r="R380" i="16"/>
  <c r="Q5" i="16"/>
  <c r="F939" i="18" s="1"/>
  <c r="O395" i="16"/>
  <c r="O394" i="16"/>
  <c r="O393" i="16"/>
  <c r="O392" i="16"/>
  <c r="O391" i="16"/>
  <c r="O390" i="16"/>
  <c r="O389" i="16"/>
  <c r="O388" i="16"/>
  <c r="O387" i="16"/>
  <c r="O386" i="16"/>
  <c r="O385" i="16"/>
  <c r="O384" i="16"/>
  <c r="O383" i="16"/>
  <c r="O382" i="16"/>
  <c r="U382" i="16"/>
  <c r="O381" i="16"/>
  <c r="O378" i="16"/>
  <c r="O377" i="16"/>
  <c r="O369" i="16"/>
  <c r="O370" i="16"/>
  <c r="O371" i="16"/>
  <c r="O372" i="16"/>
  <c r="O373" i="16"/>
  <c r="O374" i="16"/>
  <c r="O368" i="16"/>
  <c r="O367" i="16"/>
  <c r="O366" i="16"/>
  <c r="O365" i="16"/>
  <c r="O364" i="16"/>
  <c r="O363" i="16"/>
  <c r="O362" i="16"/>
  <c r="O361" i="16"/>
  <c r="O357" i="16"/>
  <c r="I357" i="16"/>
  <c r="J357" i="16" s="1"/>
  <c r="J353" i="16" s="1"/>
  <c r="O356" i="16"/>
  <c r="O355" i="16"/>
  <c r="O354" i="16"/>
  <c r="O351" i="16"/>
  <c r="O350" i="16"/>
  <c r="O349" i="16"/>
  <c r="O348" i="16"/>
  <c r="O347" i="16"/>
  <c r="J343" i="16"/>
  <c r="O346" i="16"/>
  <c r="O345" i="16"/>
  <c r="O344" i="16"/>
  <c r="O333" i="16"/>
  <c r="O334" i="16"/>
  <c r="O335" i="16"/>
  <c r="O336" i="16"/>
  <c r="O337" i="16"/>
  <c r="O338" i="16"/>
  <c r="O339" i="16"/>
  <c r="O340" i="16"/>
  <c r="O341" i="16"/>
  <c r="O332" i="16"/>
  <c r="O331" i="16"/>
  <c r="O330" i="16"/>
  <c r="U330" i="16"/>
  <c r="O329" i="16"/>
  <c r="U329" i="16"/>
  <c r="O328" i="16"/>
  <c r="O327" i="16"/>
  <c r="O326" i="16"/>
  <c r="O325" i="16"/>
  <c r="O324" i="16"/>
  <c r="O323" i="16"/>
  <c r="O313" i="16"/>
  <c r="O314" i="16"/>
  <c r="O315" i="16"/>
  <c r="O316" i="16"/>
  <c r="O317" i="16"/>
  <c r="O318" i="16"/>
  <c r="O319" i="16"/>
  <c r="O320" i="16"/>
  <c r="O312" i="16"/>
  <c r="O311" i="16"/>
  <c r="O310" i="16"/>
  <c r="O309" i="16"/>
  <c r="O308" i="16"/>
  <c r="O307" i="16"/>
  <c r="O306" i="16"/>
  <c r="O305" i="16"/>
  <c r="O304" i="16"/>
  <c r="O303" i="16"/>
  <c r="O302" i="16"/>
  <c r="O301" i="16"/>
  <c r="O300" i="16"/>
  <c r="O299" i="16"/>
  <c r="O298" i="16"/>
  <c r="O297" i="16"/>
  <c r="O296" i="16"/>
  <c r="O295" i="16"/>
  <c r="O294" i="16"/>
  <c r="O293" i="16"/>
  <c r="O292" i="16"/>
  <c r="O291" i="16"/>
  <c r="O290" i="16"/>
  <c r="O289" i="16"/>
  <c r="O288" i="16"/>
  <c r="O287" i="16"/>
  <c r="O286" i="16"/>
  <c r="O273" i="16"/>
  <c r="O274" i="16"/>
  <c r="U275" i="16"/>
  <c r="O275" i="16"/>
  <c r="O276" i="16"/>
  <c r="O277" i="16"/>
  <c r="O278" i="16"/>
  <c r="O279" i="16"/>
  <c r="O280" i="16"/>
  <c r="O281" i="16"/>
  <c r="O282" i="16"/>
  <c r="O283" i="16"/>
  <c r="O272" i="16"/>
  <c r="O271" i="16"/>
  <c r="O270" i="16"/>
  <c r="O269" i="16"/>
  <c r="O268" i="16"/>
  <c r="O267" i="16"/>
  <c r="O266" i="16"/>
  <c r="O265" i="16"/>
  <c r="O264" i="16"/>
  <c r="U264" i="16"/>
  <c r="O263" i="16"/>
  <c r="O262" i="16"/>
  <c r="O261" i="16"/>
  <c r="O260" i="16"/>
  <c r="O259" i="16"/>
  <c r="O258" i="16"/>
  <c r="U258" i="16"/>
  <c r="O257" i="16"/>
  <c r="U257" i="16"/>
  <c r="O248" i="16"/>
  <c r="O249" i="16"/>
  <c r="O250" i="16"/>
  <c r="U251" i="16"/>
  <c r="O251" i="16"/>
  <c r="O252" i="16"/>
  <c r="O253" i="16"/>
  <c r="O254" i="16"/>
  <c r="O247" i="16"/>
  <c r="O246" i="16"/>
  <c r="O245" i="16"/>
  <c r="O244" i="16"/>
  <c r="U244" i="16"/>
  <c r="O243" i="16"/>
  <c r="O242" i="16"/>
  <c r="O241" i="16"/>
  <c r="O240" i="16"/>
  <c r="U240" i="16"/>
  <c r="O239" i="16"/>
  <c r="U239" i="16"/>
  <c r="O238" i="16"/>
  <c r="O237" i="16"/>
  <c r="O236" i="16"/>
  <c r="U236" i="16"/>
  <c r="O235" i="16"/>
  <c r="O234" i="16"/>
  <c r="O233" i="16"/>
  <c r="O232" i="16"/>
  <c r="O231" i="16"/>
  <c r="O230" i="16"/>
  <c r="W230" i="16"/>
  <c r="O229" i="16"/>
  <c r="O228" i="16"/>
  <c r="U228" i="16"/>
  <c r="O227" i="16"/>
  <c r="O226" i="16"/>
  <c r="O225" i="16"/>
  <c r="J224" i="16"/>
  <c r="O221" i="16"/>
  <c r="O222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U193" i="16"/>
  <c r="O192" i="16"/>
  <c r="U192" i="16"/>
  <c r="O191" i="16"/>
  <c r="O190" i="16"/>
  <c r="O189" i="16"/>
  <c r="O174" i="16"/>
  <c r="O175" i="16"/>
  <c r="U176" i="16"/>
  <c r="O176" i="16"/>
  <c r="O177" i="16"/>
  <c r="O178" i="16"/>
  <c r="O179" i="16"/>
  <c r="O180" i="16"/>
  <c r="O181" i="16"/>
  <c r="U182" i="16"/>
  <c r="O182" i="16"/>
  <c r="O183" i="16"/>
  <c r="O184" i="16"/>
  <c r="O185" i="16"/>
  <c r="O186" i="16"/>
  <c r="O173" i="16"/>
  <c r="O172" i="16"/>
  <c r="O171" i="16"/>
  <c r="O170" i="16"/>
  <c r="O169" i="16"/>
  <c r="O168" i="16"/>
  <c r="O167" i="16"/>
  <c r="O166" i="16"/>
  <c r="U166" i="16"/>
  <c r="O165" i="16"/>
  <c r="O164" i="16"/>
  <c r="U164" i="16"/>
  <c r="O163" i="16"/>
  <c r="O162" i="16"/>
  <c r="O161" i="16"/>
  <c r="O160" i="16"/>
  <c r="O159" i="16"/>
  <c r="O158" i="16"/>
  <c r="O157" i="16"/>
  <c r="O156" i="16"/>
  <c r="O155" i="16"/>
  <c r="O154" i="16"/>
  <c r="O153" i="16"/>
  <c r="O152" i="16"/>
  <c r="O151" i="16"/>
  <c r="O150" i="16"/>
  <c r="O149" i="16"/>
  <c r="O148" i="16"/>
  <c r="O147" i="16"/>
  <c r="O146" i="16"/>
  <c r="O145" i="16"/>
  <c r="O144" i="16"/>
  <c r="O143" i="16"/>
  <c r="O142" i="16"/>
  <c r="O141" i="16"/>
  <c r="O140" i="16"/>
  <c r="O139" i="16"/>
  <c r="O138" i="16"/>
  <c r="O137" i="16"/>
  <c r="O136" i="16"/>
  <c r="U136" i="16"/>
  <c r="O135" i="16"/>
  <c r="O134" i="16"/>
  <c r="O133" i="16"/>
  <c r="U133" i="16"/>
  <c r="O132" i="16"/>
  <c r="O131" i="16"/>
  <c r="O130" i="16"/>
  <c r="O127" i="16"/>
  <c r="J126" i="16"/>
  <c r="O107" i="16"/>
  <c r="O108" i="16"/>
  <c r="O109" i="16"/>
  <c r="O110" i="16"/>
  <c r="O111" i="16"/>
  <c r="O112" i="16"/>
  <c r="O113" i="16"/>
  <c r="O114" i="16"/>
  <c r="O115" i="16"/>
  <c r="O116" i="16"/>
  <c r="U117" i="16"/>
  <c r="O117" i="16"/>
  <c r="O118" i="16"/>
  <c r="O119" i="16"/>
  <c r="U120" i="16"/>
  <c r="O120" i="16"/>
  <c r="O121" i="16"/>
  <c r="O122" i="16"/>
  <c r="O123" i="16"/>
  <c r="O124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82" i="16"/>
  <c r="O81" i="16"/>
  <c r="O63" i="16"/>
  <c r="O62" i="16"/>
  <c r="O61" i="16"/>
  <c r="O60" i="16"/>
  <c r="O59" i="16"/>
  <c r="O58" i="16"/>
  <c r="O57" i="16"/>
  <c r="O56" i="16"/>
  <c r="O55" i="16"/>
  <c r="O54" i="16"/>
  <c r="O53" i="16"/>
  <c r="O64" i="16"/>
  <c r="O65" i="16"/>
  <c r="O66" i="16"/>
  <c r="O67" i="16"/>
  <c r="O68" i="16"/>
  <c r="O69" i="16"/>
  <c r="O70" i="16"/>
  <c r="O71" i="16"/>
  <c r="O72" i="16"/>
  <c r="O73" i="16"/>
  <c r="O74" i="16"/>
  <c r="O75" i="16"/>
  <c r="U76" i="16"/>
  <c r="O76" i="16"/>
  <c r="O77" i="16"/>
  <c r="O78" i="16"/>
  <c r="O41" i="16"/>
  <c r="O42" i="16"/>
  <c r="O43" i="16"/>
  <c r="O44" i="16"/>
  <c r="O45" i="16"/>
  <c r="O46" i="16"/>
  <c r="O47" i="16"/>
  <c r="O48" i="16"/>
  <c r="O49" i="16"/>
  <c r="O50" i="16"/>
  <c r="O40" i="16"/>
  <c r="U45" i="16"/>
  <c r="U49" i="16"/>
  <c r="O14" i="16"/>
  <c r="O15" i="16"/>
  <c r="O17" i="16"/>
  <c r="O18" i="16"/>
  <c r="O19" i="16"/>
  <c r="O20" i="16"/>
  <c r="O21" i="16"/>
  <c r="O22" i="16"/>
  <c r="O23" i="16"/>
  <c r="O24" i="16"/>
  <c r="O25" i="16"/>
  <c r="O26" i="16"/>
  <c r="O27" i="16"/>
  <c r="O28" i="16"/>
  <c r="O29" i="16"/>
  <c r="O30" i="16"/>
  <c r="O31" i="16"/>
  <c r="O32" i="16"/>
  <c r="O33" i="16"/>
  <c r="O34" i="16"/>
  <c r="O35" i="16"/>
  <c r="O36" i="16"/>
  <c r="O37" i="16"/>
  <c r="U16" i="16"/>
  <c r="AI14" i="16"/>
  <c r="O13" i="16"/>
  <c r="U172" i="16"/>
  <c r="U196" i="16"/>
  <c r="U333" i="16"/>
  <c r="U386" i="16"/>
  <c r="U393" i="16"/>
  <c r="L353" i="16"/>
  <c r="U364" i="16"/>
  <c r="W315" i="16"/>
  <c r="U389" i="16"/>
  <c r="U394" i="16"/>
  <c r="U372" i="16"/>
  <c r="U348" i="16"/>
  <c r="W337" i="16"/>
  <c r="W326" i="16"/>
  <c r="J322" i="16"/>
  <c r="U381" i="16"/>
  <c r="U266" i="16"/>
  <c r="W270" i="16"/>
  <c r="U252" i="16"/>
  <c r="W227" i="16"/>
  <c r="W229" i="16"/>
  <c r="W231" i="16"/>
  <c r="U243" i="16"/>
  <c r="U247" i="16"/>
  <c r="U204" i="16"/>
  <c r="U214" i="16"/>
  <c r="U157" i="16"/>
  <c r="U160" i="16"/>
  <c r="U167" i="16"/>
  <c r="U170" i="16"/>
  <c r="U185" i="16"/>
  <c r="U181" i="16"/>
  <c r="U178" i="16"/>
  <c r="U177" i="16"/>
  <c r="U174" i="16"/>
  <c r="U141" i="16"/>
  <c r="U144" i="16"/>
  <c r="U97" i="16"/>
  <c r="U103" i="16"/>
  <c r="U70" i="16"/>
  <c r="U69" i="16"/>
  <c r="AB353" i="16"/>
  <c r="AB188" i="16"/>
  <c r="AB360" i="16"/>
  <c r="AB376" i="16"/>
  <c r="J39" i="16"/>
  <c r="U35" i="16"/>
  <c r="U27" i="16"/>
  <c r="U21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C228" i="16"/>
  <c r="AB228" i="16" s="1"/>
  <c r="AB224" i="16" s="1"/>
  <c r="C43" i="16"/>
  <c r="AB43" i="16"/>
  <c r="I304" i="7"/>
  <c r="C614" i="7"/>
  <c r="T339" i="7"/>
  <c r="T375" i="7"/>
  <c r="T498" i="7"/>
  <c r="T5" i="7"/>
  <c r="Q599" i="7"/>
  <c r="O599" i="7"/>
  <c r="M599" i="7"/>
  <c r="K599" i="7"/>
  <c r="I599" i="7"/>
  <c r="Q598" i="7"/>
  <c r="O598" i="7"/>
  <c r="M598" i="7"/>
  <c r="K598" i="7"/>
  <c r="I598" i="7"/>
  <c r="Q597" i="7"/>
  <c r="O597" i="7"/>
  <c r="M597" i="7"/>
  <c r="K597" i="7"/>
  <c r="T597" i="7" s="1"/>
  <c r="I597" i="7"/>
  <c r="Q596" i="7"/>
  <c r="O596" i="7"/>
  <c r="M596" i="7"/>
  <c r="T596" i="7" s="1"/>
  <c r="K596" i="7"/>
  <c r="I596" i="7"/>
  <c r="Q595" i="7"/>
  <c r="O595" i="7"/>
  <c r="M595" i="7"/>
  <c r="K595" i="7"/>
  <c r="I595" i="7"/>
  <c r="G595" i="7"/>
  <c r="T595" i="7" s="1"/>
  <c r="Q594" i="7"/>
  <c r="O594" i="7"/>
  <c r="M594" i="7"/>
  <c r="K594" i="7"/>
  <c r="I594" i="7"/>
  <c r="Q593" i="7"/>
  <c r="O593" i="7"/>
  <c r="T593" i="7" s="1"/>
  <c r="M593" i="7"/>
  <c r="K593" i="7"/>
  <c r="I593" i="7"/>
  <c r="Q592" i="7"/>
  <c r="O592" i="7"/>
  <c r="G592" i="7"/>
  <c r="I592" i="7"/>
  <c r="K592" i="7"/>
  <c r="T592" i="7" s="1"/>
  <c r="M592" i="7"/>
  <c r="Q591" i="7"/>
  <c r="O591" i="7"/>
  <c r="M591" i="7"/>
  <c r="T591" i="7" s="1"/>
  <c r="K591" i="7"/>
  <c r="I591" i="7"/>
  <c r="Q590" i="7"/>
  <c r="O590" i="7"/>
  <c r="M590" i="7"/>
  <c r="K590" i="7"/>
  <c r="I590" i="7"/>
  <c r="Q589" i="7"/>
  <c r="O589" i="7"/>
  <c r="M589" i="7"/>
  <c r="G589" i="7"/>
  <c r="I589" i="7"/>
  <c r="K589" i="7"/>
  <c r="Q588" i="7"/>
  <c r="O588" i="7"/>
  <c r="M588" i="7"/>
  <c r="K588" i="7"/>
  <c r="I588" i="7"/>
  <c r="Q587" i="7"/>
  <c r="O587" i="7"/>
  <c r="M587" i="7"/>
  <c r="K587" i="7"/>
  <c r="I587" i="7"/>
  <c r="G587" i="7"/>
  <c r="Q586" i="7"/>
  <c r="O586" i="7"/>
  <c r="M586" i="7"/>
  <c r="K586" i="7"/>
  <c r="I586" i="7"/>
  <c r="Q585" i="7"/>
  <c r="O585" i="7"/>
  <c r="M585" i="7"/>
  <c r="K585" i="7"/>
  <c r="I585" i="7"/>
  <c r="Q584" i="7"/>
  <c r="O584" i="7"/>
  <c r="M584" i="7"/>
  <c r="K584" i="7"/>
  <c r="T584" i="7" s="1"/>
  <c r="I584" i="7"/>
  <c r="Q583" i="7"/>
  <c r="O583" i="7"/>
  <c r="M583" i="7"/>
  <c r="K583" i="7"/>
  <c r="I583" i="7"/>
  <c r="G583" i="7"/>
  <c r="T583" i="7"/>
  <c r="Q582" i="7"/>
  <c r="O582" i="7"/>
  <c r="M582" i="7"/>
  <c r="K582" i="7"/>
  <c r="I582" i="7"/>
  <c r="Q581" i="7"/>
  <c r="O581" i="7"/>
  <c r="M581" i="7"/>
  <c r="G581" i="7"/>
  <c r="I581" i="7"/>
  <c r="K581" i="7"/>
  <c r="T581" i="7"/>
  <c r="Q580" i="7"/>
  <c r="O580" i="7"/>
  <c r="G580" i="7"/>
  <c r="I580" i="7"/>
  <c r="T580" i="7" s="1"/>
  <c r="K580" i="7"/>
  <c r="M580" i="7"/>
  <c r="Q579" i="7"/>
  <c r="O579" i="7"/>
  <c r="M579" i="7"/>
  <c r="K579" i="7"/>
  <c r="I579" i="7"/>
  <c r="G579" i="7"/>
  <c r="Q578" i="7"/>
  <c r="O578" i="7"/>
  <c r="M578" i="7"/>
  <c r="K578" i="7"/>
  <c r="G578" i="7"/>
  <c r="T578" i="7" s="1"/>
  <c r="I578" i="7"/>
  <c r="Q577" i="7"/>
  <c r="O577" i="7"/>
  <c r="M577" i="7"/>
  <c r="T577" i="7" s="1"/>
  <c r="I577" i="7"/>
  <c r="K577" i="7"/>
  <c r="Q576" i="7"/>
  <c r="O576" i="7"/>
  <c r="G576" i="7"/>
  <c r="I576" i="7"/>
  <c r="K576" i="7"/>
  <c r="M576" i="7"/>
  <c r="Q575" i="7"/>
  <c r="O575" i="7"/>
  <c r="M575" i="7"/>
  <c r="K575" i="7"/>
  <c r="I575" i="7"/>
  <c r="G575" i="7"/>
  <c r="Q574" i="7"/>
  <c r="O574" i="7"/>
  <c r="M574" i="7"/>
  <c r="K574" i="7"/>
  <c r="I574" i="7"/>
  <c r="Q573" i="7"/>
  <c r="O573" i="7"/>
  <c r="T573" i="7" s="1"/>
  <c r="M573" i="7"/>
  <c r="K573" i="7"/>
  <c r="I573" i="7"/>
  <c r="Q572" i="7"/>
  <c r="O572" i="7"/>
  <c r="M572" i="7"/>
  <c r="K572" i="7"/>
  <c r="I572" i="7"/>
  <c r="Q571" i="7"/>
  <c r="O571" i="7"/>
  <c r="M571" i="7"/>
  <c r="K571" i="7"/>
  <c r="I571" i="7"/>
  <c r="Q570" i="7"/>
  <c r="O570" i="7"/>
  <c r="M570" i="7"/>
  <c r="K570" i="7"/>
  <c r="G570" i="7"/>
  <c r="I570" i="7"/>
  <c r="T570" i="7"/>
  <c r="Q569" i="7"/>
  <c r="O569" i="7"/>
  <c r="M569" i="7"/>
  <c r="K569" i="7"/>
  <c r="I569" i="7"/>
  <c r="Q568" i="7"/>
  <c r="O568" i="7"/>
  <c r="M568" i="7"/>
  <c r="K568" i="7"/>
  <c r="I568" i="7"/>
  <c r="Q567" i="7"/>
  <c r="O567" i="7"/>
  <c r="M567" i="7"/>
  <c r="K567" i="7"/>
  <c r="I567" i="7"/>
  <c r="G567" i="7"/>
  <c r="T567" i="7" s="1"/>
  <c r="Q566" i="7"/>
  <c r="O566" i="7"/>
  <c r="M566" i="7"/>
  <c r="K566" i="7"/>
  <c r="I566" i="7"/>
  <c r="Q565" i="7"/>
  <c r="O565" i="7"/>
  <c r="M565" i="7"/>
  <c r="K565" i="7"/>
  <c r="I565" i="7"/>
  <c r="T565" i="7" s="1"/>
  <c r="Q564" i="7"/>
  <c r="O564" i="7"/>
  <c r="G564" i="7"/>
  <c r="I564" i="7"/>
  <c r="T564" i="7" s="1"/>
  <c r="K564" i="7"/>
  <c r="M564" i="7"/>
  <c r="Q563" i="7"/>
  <c r="O563" i="7"/>
  <c r="M563" i="7"/>
  <c r="K563" i="7"/>
  <c r="I563" i="7"/>
  <c r="G563" i="7"/>
  <c r="T563" i="7" s="1"/>
  <c r="Q562" i="7"/>
  <c r="O562" i="7"/>
  <c r="M562" i="7"/>
  <c r="K562" i="7"/>
  <c r="I562" i="7"/>
  <c r="Q561" i="7"/>
  <c r="O561" i="7"/>
  <c r="M561" i="7"/>
  <c r="K561" i="7"/>
  <c r="I561" i="7"/>
  <c r="Q560" i="7"/>
  <c r="O560" i="7"/>
  <c r="G560" i="7"/>
  <c r="I560" i="7"/>
  <c r="T560" i="7" s="1"/>
  <c r="K560" i="7"/>
  <c r="M560" i="7"/>
  <c r="Q559" i="7"/>
  <c r="O559" i="7"/>
  <c r="M559" i="7"/>
  <c r="K559" i="7"/>
  <c r="I559" i="7"/>
  <c r="Q558" i="7"/>
  <c r="O558" i="7"/>
  <c r="M558" i="7"/>
  <c r="K558" i="7"/>
  <c r="I558" i="7"/>
  <c r="T558" i="7" s="1"/>
  <c r="Q557" i="7"/>
  <c r="O557" i="7"/>
  <c r="M557" i="7"/>
  <c r="G557" i="7"/>
  <c r="T557" i="7" s="1"/>
  <c r="I557" i="7"/>
  <c r="K557" i="7"/>
  <c r="Q556" i="7"/>
  <c r="O556" i="7"/>
  <c r="G556" i="7"/>
  <c r="I556" i="7"/>
  <c r="K556" i="7"/>
  <c r="M556" i="7"/>
  <c r="Q555" i="7"/>
  <c r="O555" i="7"/>
  <c r="M555" i="7"/>
  <c r="K555" i="7"/>
  <c r="I555" i="7"/>
  <c r="Q554" i="7"/>
  <c r="O554" i="7"/>
  <c r="M554" i="7"/>
  <c r="K554" i="7"/>
  <c r="I554" i="7"/>
  <c r="Q553" i="7"/>
  <c r="O553" i="7"/>
  <c r="M553" i="7"/>
  <c r="T553" i="7" s="1"/>
  <c r="K553" i="7"/>
  <c r="I553" i="7"/>
  <c r="Q552" i="7"/>
  <c r="O552" i="7"/>
  <c r="M552" i="7"/>
  <c r="K552" i="7"/>
  <c r="I552" i="7"/>
  <c r="Q551" i="7"/>
  <c r="O551" i="7"/>
  <c r="M551" i="7"/>
  <c r="K551" i="7"/>
  <c r="I551" i="7"/>
  <c r="G551" i="7"/>
  <c r="Q550" i="7"/>
  <c r="O550" i="7"/>
  <c r="M550" i="7"/>
  <c r="K550" i="7"/>
  <c r="I550" i="7"/>
  <c r="Q549" i="7"/>
  <c r="O549" i="7"/>
  <c r="M549" i="7"/>
  <c r="K549" i="7"/>
  <c r="I549" i="7"/>
  <c r="Q548" i="7"/>
  <c r="O548" i="7"/>
  <c r="G548" i="7"/>
  <c r="I548" i="7"/>
  <c r="K548" i="7"/>
  <c r="M548" i="7"/>
  <c r="T548" i="7"/>
  <c r="Q547" i="7"/>
  <c r="O547" i="7"/>
  <c r="M547" i="7"/>
  <c r="K547" i="7"/>
  <c r="I547" i="7"/>
  <c r="Q546" i="7"/>
  <c r="O546" i="7"/>
  <c r="M546" i="7"/>
  <c r="K546" i="7"/>
  <c r="I546" i="7"/>
  <c r="Q545" i="7"/>
  <c r="O545" i="7"/>
  <c r="M545" i="7"/>
  <c r="G545" i="7"/>
  <c r="I545" i="7"/>
  <c r="K545" i="7"/>
  <c r="T545" i="7" s="1"/>
  <c r="Q544" i="7"/>
  <c r="O544" i="7"/>
  <c r="G544" i="7"/>
  <c r="I544" i="7"/>
  <c r="K544" i="7"/>
  <c r="M544" i="7"/>
  <c r="T544" i="7"/>
  <c r="Q543" i="7"/>
  <c r="O543" i="7"/>
  <c r="M543" i="7"/>
  <c r="K543" i="7"/>
  <c r="I543" i="7"/>
  <c r="Q542" i="7"/>
  <c r="O542" i="7"/>
  <c r="M542" i="7"/>
  <c r="T542" i="7" s="1"/>
  <c r="K542" i="7"/>
  <c r="I542" i="7"/>
  <c r="Q541" i="7"/>
  <c r="O541" i="7"/>
  <c r="M541" i="7"/>
  <c r="G541" i="7"/>
  <c r="I541" i="7"/>
  <c r="K541" i="7"/>
  <c r="T541" i="7" s="1"/>
  <c r="Q540" i="7"/>
  <c r="O540" i="7"/>
  <c r="M540" i="7"/>
  <c r="K540" i="7"/>
  <c r="I540" i="7"/>
  <c r="Q539" i="7"/>
  <c r="O539" i="7"/>
  <c r="M539" i="7"/>
  <c r="K539" i="7"/>
  <c r="I539" i="7"/>
  <c r="G539" i="7"/>
  <c r="T539" i="7" s="1"/>
  <c r="Q538" i="7"/>
  <c r="O538" i="7"/>
  <c r="M538" i="7"/>
  <c r="K538" i="7"/>
  <c r="G538" i="7"/>
  <c r="I538" i="7"/>
  <c r="T538" i="7"/>
  <c r="Q537" i="7"/>
  <c r="O537" i="7"/>
  <c r="M537" i="7"/>
  <c r="K537" i="7"/>
  <c r="I537" i="7"/>
  <c r="Q536" i="7"/>
  <c r="O536" i="7"/>
  <c r="G536" i="7"/>
  <c r="I536" i="7"/>
  <c r="K536" i="7"/>
  <c r="M536" i="7"/>
  <c r="T536" i="7"/>
  <c r="Q535" i="7"/>
  <c r="O535" i="7"/>
  <c r="M535" i="7"/>
  <c r="K535" i="7"/>
  <c r="I535" i="7"/>
  <c r="G535" i="7"/>
  <c r="Q534" i="7"/>
  <c r="O534" i="7"/>
  <c r="M534" i="7"/>
  <c r="K534" i="7"/>
  <c r="I534" i="7"/>
  <c r="Q533" i="7"/>
  <c r="O533" i="7"/>
  <c r="M533" i="7"/>
  <c r="K533" i="7"/>
  <c r="I533" i="7"/>
  <c r="T533" i="7" s="1"/>
  <c r="Q532" i="7"/>
  <c r="O532" i="7"/>
  <c r="G532" i="7"/>
  <c r="I532" i="7"/>
  <c r="T532" i="7" s="1"/>
  <c r="K532" i="7"/>
  <c r="M532" i="7"/>
  <c r="Q531" i="7"/>
  <c r="O531" i="7"/>
  <c r="M531" i="7"/>
  <c r="K531" i="7"/>
  <c r="I531" i="7"/>
  <c r="G531" i="7"/>
  <c r="Q530" i="7"/>
  <c r="O530" i="7"/>
  <c r="M530" i="7"/>
  <c r="K530" i="7"/>
  <c r="G530" i="7"/>
  <c r="T530" i="7" s="1"/>
  <c r="I530" i="7"/>
  <c r="Q529" i="7"/>
  <c r="O529" i="7"/>
  <c r="M529" i="7"/>
  <c r="K529" i="7"/>
  <c r="I529" i="7"/>
  <c r="Q528" i="7"/>
  <c r="O528" i="7"/>
  <c r="M528" i="7"/>
  <c r="K528" i="7"/>
  <c r="I528" i="7"/>
  <c r="Q527" i="7"/>
  <c r="O527" i="7"/>
  <c r="M527" i="7"/>
  <c r="K527" i="7"/>
  <c r="I527" i="7"/>
  <c r="T527" i="7" s="1"/>
  <c r="Q526" i="7"/>
  <c r="O526" i="7"/>
  <c r="M526" i="7"/>
  <c r="K526" i="7"/>
  <c r="I526" i="7"/>
  <c r="Q525" i="7"/>
  <c r="O525" i="7"/>
  <c r="M525" i="7"/>
  <c r="G525" i="7"/>
  <c r="I525" i="7"/>
  <c r="T525" i="7" s="1"/>
  <c r="K525" i="7"/>
  <c r="Q524" i="7"/>
  <c r="O524" i="7"/>
  <c r="M524" i="7"/>
  <c r="T524" i="7" s="1"/>
  <c r="K524" i="7"/>
  <c r="I524" i="7"/>
  <c r="Q523" i="7"/>
  <c r="O523" i="7"/>
  <c r="T523" i="7" s="1"/>
  <c r="M523" i="7"/>
  <c r="K523" i="7"/>
  <c r="I523" i="7"/>
  <c r="Q522" i="7"/>
  <c r="O522" i="7"/>
  <c r="M522" i="7"/>
  <c r="K522" i="7"/>
  <c r="G522" i="7"/>
  <c r="T522" i="7" s="1"/>
  <c r="I522" i="7"/>
  <c r="Q521" i="7"/>
  <c r="O521" i="7"/>
  <c r="M521" i="7"/>
  <c r="G521" i="7"/>
  <c r="I521" i="7"/>
  <c r="T521" i="7" s="1"/>
  <c r="K521" i="7"/>
  <c r="Q520" i="7"/>
  <c r="O520" i="7"/>
  <c r="M520" i="7"/>
  <c r="K520" i="7"/>
  <c r="I520" i="7"/>
  <c r="Q519" i="7"/>
  <c r="O519" i="7"/>
  <c r="M519" i="7"/>
  <c r="K519" i="7"/>
  <c r="I519" i="7"/>
  <c r="Q518" i="7"/>
  <c r="O518" i="7"/>
  <c r="M518" i="7"/>
  <c r="K518" i="7"/>
  <c r="I518" i="7"/>
  <c r="T518" i="7" s="1"/>
  <c r="Q517" i="7"/>
  <c r="O517" i="7"/>
  <c r="M517" i="7"/>
  <c r="K517" i="7"/>
  <c r="I517" i="7"/>
  <c r="Q516" i="7"/>
  <c r="O516" i="7"/>
  <c r="G516" i="7"/>
  <c r="I516" i="7"/>
  <c r="K516" i="7"/>
  <c r="M516" i="7"/>
  <c r="T516" i="7"/>
  <c r="Q515" i="7"/>
  <c r="O515" i="7"/>
  <c r="M515" i="7"/>
  <c r="K515" i="7"/>
  <c r="I515" i="7"/>
  <c r="Q514" i="7"/>
  <c r="O514" i="7"/>
  <c r="M514" i="7"/>
  <c r="K514" i="7"/>
  <c r="G514" i="7"/>
  <c r="I514" i="7"/>
  <c r="T514" i="7"/>
  <c r="Q513" i="7"/>
  <c r="O513" i="7"/>
  <c r="M513" i="7"/>
  <c r="G513" i="7"/>
  <c r="T513" i="7" s="1"/>
  <c r="I513" i="7"/>
  <c r="K513" i="7"/>
  <c r="Q512" i="7"/>
  <c r="O512" i="7"/>
  <c r="M512" i="7"/>
  <c r="K512" i="7"/>
  <c r="I512" i="7"/>
  <c r="Q511" i="7"/>
  <c r="O511" i="7"/>
  <c r="M511" i="7"/>
  <c r="K511" i="7"/>
  <c r="I511" i="7"/>
  <c r="Q510" i="7"/>
  <c r="O510" i="7"/>
  <c r="M510" i="7"/>
  <c r="K510" i="7"/>
  <c r="G510" i="7"/>
  <c r="I510" i="7"/>
  <c r="T510" i="7"/>
  <c r="Q509" i="7"/>
  <c r="O509" i="7"/>
  <c r="M509" i="7"/>
  <c r="K509" i="7"/>
  <c r="I509" i="7"/>
  <c r="Q508" i="7"/>
  <c r="O508" i="7"/>
  <c r="M508" i="7"/>
  <c r="K508" i="7"/>
  <c r="I508" i="7"/>
  <c r="Q507" i="7"/>
  <c r="O507" i="7"/>
  <c r="M507" i="7"/>
  <c r="K507" i="7"/>
  <c r="I507" i="7"/>
  <c r="G507" i="7"/>
  <c r="T507" i="7" s="1"/>
  <c r="Q506" i="7"/>
  <c r="O506" i="7"/>
  <c r="M506" i="7"/>
  <c r="K506" i="7"/>
  <c r="I506" i="7"/>
  <c r="Q505" i="7"/>
  <c r="O505" i="7"/>
  <c r="M505" i="7"/>
  <c r="K505" i="7"/>
  <c r="I505" i="7"/>
  <c r="Q504" i="7"/>
  <c r="O504" i="7"/>
  <c r="G504" i="7"/>
  <c r="I504" i="7"/>
  <c r="T504" i="7" s="1"/>
  <c r="K504" i="7"/>
  <c r="M504" i="7"/>
  <c r="Q503" i="7"/>
  <c r="Q500" i="7"/>
  <c r="Q614" i="7" s="1"/>
  <c r="Q501" i="7"/>
  <c r="Q502" i="7"/>
  <c r="O503" i="7"/>
  <c r="M503" i="7"/>
  <c r="K503" i="7"/>
  <c r="I503" i="7"/>
  <c r="O502" i="7"/>
  <c r="O614" i="7" s="1"/>
  <c r="M502" i="7"/>
  <c r="K502" i="7"/>
  <c r="G502" i="7"/>
  <c r="I502" i="7"/>
  <c r="I614" i="7" s="1"/>
  <c r="O501" i="7"/>
  <c r="M501" i="7"/>
  <c r="T501" i="7" s="1"/>
  <c r="K501" i="7"/>
  <c r="I501" i="7"/>
  <c r="O500" i="7"/>
  <c r="M500" i="7"/>
  <c r="K500" i="7"/>
  <c r="I500" i="7"/>
  <c r="Q499" i="7"/>
  <c r="O499" i="7"/>
  <c r="M499" i="7"/>
  <c r="K499" i="7"/>
  <c r="I499" i="7"/>
  <c r="T499" i="7" s="1"/>
  <c r="O497" i="7"/>
  <c r="K497" i="7"/>
  <c r="G497" i="7"/>
  <c r="T497" i="7" s="1"/>
  <c r="I497" i="7"/>
  <c r="O496" i="7"/>
  <c r="G496" i="7"/>
  <c r="I496" i="7"/>
  <c r="K496" i="7"/>
  <c r="O495" i="7"/>
  <c r="K495" i="7"/>
  <c r="I495" i="7"/>
  <c r="O494" i="7"/>
  <c r="K494" i="7"/>
  <c r="I494" i="7"/>
  <c r="G494" i="7"/>
  <c r="O493" i="7"/>
  <c r="K493" i="7"/>
  <c r="T493" i="7" s="1"/>
  <c r="G493" i="7"/>
  <c r="I493" i="7"/>
  <c r="O492" i="7"/>
  <c r="T492" i="7" s="1"/>
  <c r="K492" i="7"/>
  <c r="I492" i="7"/>
  <c r="O491" i="7"/>
  <c r="K491" i="7"/>
  <c r="T491" i="7" s="1"/>
  <c r="I491" i="7"/>
  <c r="O490" i="7"/>
  <c r="K490" i="7"/>
  <c r="I490" i="7"/>
  <c r="G490" i="7"/>
  <c r="O489" i="7"/>
  <c r="K489" i="7"/>
  <c r="G489" i="7"/>
  <c r="I489" i="7"/>
  <c r="T489" i="7"/>
  <c r="O488" i="7"/>
  <c r="G488" i="7"/>
  <c r="I488" i="7"/>
  <c r="K488" i="7"/>
  <c r="T488" i="7" s="1"/>
  <c r="O487" i="7"/>
  <c r="G487" i="7"/>
  <c r="I487" i="7"/>
  <c r="T487" i="7" s="1"/>
  <c r="K487" i="7"/>
  <c r="O486" i="7"/>
  <c r="K486" i="7"/>
  <c r="I486" i="7"/>
  <c r="G486" i="7"/>
  <c r="O485" i="7"/>
  <c r="K485" i="7"/>
  <c r="G485" i="7"/>
  <c r="I485" i="7"/>
  <c r="T485" i="7"/>
  <c r="O484" i="7"/>
  <c r="K484" i="7"/>
  <c r="I484" i="7"/>
  <c r="O483" i="7"/>
  <c r="K483" i="7"/>
  <c r="I483" i="7"/>
  <c r="O482" i="7"/>
  <c r="K482" i="7"/>
  <c r="I482" i="7"/>
  <c r="G482" i="7"/>
  <c r="O481" i="7"/>
  <c r="K481" i="7"/>
  <c r="T481" i="7" s="1"/>
  <c r="G481" i="7"/>
  <c r="I481" i="7"/>
  <c r="O480" i="7"/>
  <c r="K480" i="7"/>
  <c r="I480" i="7"/>
  <c r="O479" i="7"/>
  <c r="K479" i="7"/>
  <c r="T479" i="7" s="1"/>
  <c r="I479" i="7"/>
  <c r="O478" i="7"/>
  <c r="K478" i="7"/>
  <c r="I478" i="7"/>
  <c r="G478" i="7"/>
  <c r="O477" i="7"/>
  <c r="K477" i="7"/>
  <c r="I477" i="7"/>
  <c r="T477" i="7" s="1"/>
  <c r="O476" i="7"/>
  <c r="K476" i="7"/>
  <c r="T476" i="7" s="1"/>
  <c r="I476" i="7"/>
  <c r="O475" i="7"/>
  <c r="K475" i="7"/>
  <c r="I475" i="7"/>
  <c r="O474" i="7"/>
  <c r="K474" i="7"/>
  <c r="I474" i="7"/>
  <c r="G474" i="7"/>
  <c r="T474" i="7" s="1"/>
  <c r="O473" i="7"/>
  <c r="K473" i="7"/>
  <c r="G473" i="7"/>
  <c r="I473" i="7"/>
  <c r="O472" i="7"/>
  <c r="G472" i="7"/>
  <c r="T472" i="7" s="1"/>
  <c r="I472" i="7"/>
  <c r="K472" i="7"/>
  <c r="O471" i="7"/>
  <c r="K471" i="7"/>
  <c r="I471" i="7"/>
  <c r="O470" i="7"/>
  <c r="K470" i="7"/>
  <c r="T470" i="7" s="1"/>
  <c r="I470" i="7"/>
  <c r="G470" i="7"/>
  <c r="O469" i="7"/>
  <c r="K469" i="7"/>
  <c r="G469" i="7"/>
  <c r="I469" i="7"/>
  <c r="T469" i="7"/>
  <c r="O468" i="7"/>
  <c r="K468" i="7"/>
  <c r="I468" i="7"/>
  <c r="O467" i="7"/>
  <c r="K467" i="7"/>
  <c r="I467" i="7"/>
  <c r="O466" i="7"/>
  <c r="K466" i="7"/>
  <c r="T466" i="7" s="1"/>
  <c r="I466" i="7"/>
  <c r="G466" i="7"/>
  <c r="O465" i="7"/>
  <c r="K465" i="7"/>
  <c r="I465" i="7"/>
  <c r="O464" i="7"/>
  <c r="K464" i="7"/>
  <c r="T464" i="7" s="1"/>
  <c r="I464" i="7"/>
  <c r="O463" i="7"/>
  <c r="K463" i="7"/>
  <c r="I463" i="7"/>
  <c r="O462" i="7"/>
  <c r="K462" i="7"/>
  <c r="I462" i="7"/>
  <c r="O461" i="7"/>
  <c r="K461" i="7"/>
  <c r="G461" i="7"/>
  <c r="I461" i="7"/>
  <c r="T461" i="7"/>
  <c r="O460" i="7"/>
  <c r="K460" i="7"/>
  <c r="I460" i="7"/>
  <c r="O459" i="7"/>
  <c r="G459" i="7"/>
  <c r="I459" i="7"/>
  <c r="K459" i="7"/>
  <c r="T459" i="7"/>
  <c r="O458" i="7"/>
  <c r="K458" i="7"/>
  <c r="I458" i="7"/>
  <c r="G458" i="7"/>
  <c r="T458" i="7" s="1"/>
  <c r="O457" i="7"/>
  <c r="K457" i="7"/>
  <c r="I457" i="7"/>
  <c r="O456" i="7"/>
  <c r="K456" i="7"/>
  <c r="I456" i="7"/>
  <c r="O455" i="7"/>
  <c r="K455" i="7"/>
  <c r="I455" i="7"/>
  <c r="O454" i="7"/>
  <c r="K454" i="7"/>
  <c r="I454" i="7"/>
  <c r="T454" i="7" s="1"/>
  <c r="O453" i="7"/>
  <c r="K453" i="7"/>
  <c r="I453" i="7"/>
  <c r="O452" i="7"/>
  <c r="K452" i="7"/>
  <c r="I452" i="7"/>
  <c r="O451" i="7"/>
  <c r="K451" i="7"/>
  <c r="I451" i="7"/>
  <c r="O450" i="7"/>
  <c r="K450" i="7"/>
  <c r="I450" i="7"/>
  <c r="G450" i="7"/>
  <c r="T450" i="7"/>
  <c r="O449" i="7"/>
  <c r="K449" i="7"/>
  <c r="I449" i="7"/>
  <c r="O448" i="7"/>
  <c r="K448" i="7"/>
  <c r="I448" i="7"/>
  <c r="O447" i="7"/>
  <c r="K447" i="7"/>
  <c r="T447" i="7" s="1"/>
  <c r="I447" i="7"/>
  <c r="O446" i="7"/>
  <c r="K446" i="7"/>
  <c r="I446" i="7"/>
  <c r="G446" i="7"/>
  <c r="O445" i="7"/>
  <c r="K445" i="7"/>
  <c r="G445" i="7"/>
  <c r="I445" i="7"/>
  <c r="T445" i="7"/>
  <c r="O444" i="7"/>
  <c r="K444" i="7"/>
  <c r="I444" i="7"/>
  <c r="O443" i="7"/>
  <c r="G443" i="7"/>
  <c r="I443" i="7"/>
  <c r="K443" i="7"/>
  <c r="T443" i="7"/>
  <c r="O442" i="7"/>
  <c r="K442" i="7"/>
  <c r="I442" i="7"/>
  <c r="O441" i="7"/>
  <c r="K441" i="7"/>
  <c r="G441" i="7"/>
  <c r="I441" i="7"/>
  <c r="T441" i="7"/>
  <c r="O440" i="7"/>
  <c r="K440" i="7"/>
  <c r="I440" i="7"/>
  <c r="O439" i="7"/>
  <c r="T439" i="7" s="1"/>
  <c r="K439" i="7"/>
  <c r="I439" i="7"/>
  <c r="O438" i="7"/>
  <c r="K438" i="7"/>
  <c r="I438" i="7"/>
  <c r="G438" i="7"/>
  <c r="O437" i="7"/>
  <c r="K437" i="7"/>
  <c r="I437" i="7"/>
  <c r="O436" i="7"/>
  <c r="K436" i="7"/>
  <c r="I436" i="7"/>
  <c r="O435" i="7"/>
  <c r="K435" i="7"/>
  <c r="I435" i="7"/>
  <c r="O434" i="7"/>
  <c r="T434" i="7" s="1"/>
  <c r="K434" i="7"/>
  <c r="I434" i="7"/>
  <c r="O433" i="7"/>
  <c r="K433" i="7"/>
  <c r="T433" i="7" s="1"/>
  <c r="G433" i="7"/>
  <c r="I433" i="7"/>
  <c r="O432" i="7"/>
  <c r="T432" i="7" s="1"/>
  <c r="K432" i="7"/>
  <c r="I432" i="7"/>
  <c r="O431" i="7"/>
  <c r="I431" i="7"/>
  <c r="T431" i="7" s="1"/>
  <c r="K431" i="7"/>
  <c r="O430" i="7"/>
  <c r="K430" i="7"/>
  <c r="I430" i="7"/>
  <c r="O429" i="7"/>
  <c r="K429" i="7"/>
  <c r="G429" i="7"/>
  <c r="I429" i="7"/>
  <c r="O428" i="7"/>
  <c r="K428" i="7"/>
  <c r="T428" i="7" s="1"/>
  <c r="I428" i="7"/>
  <c r="O427" i="7"/>
  <c r="G427" i="7"/>
  <c r="I427" i="7"/>
  <c r="K427" i="7"/>
  <c r="O426" i="7"/>
  <c r="K426" i="7"/>
  <c r="I426" i="7"/>
  <c r="G426" i="7"/>
  <c r="T426" i="7"/>
  <c r="O425" i="7"/>
  <c r="K425" i="7"/>
  <c r="G425" i="7"/>
  <c r="I425" i="7"/>
  <c r="T425" i="7" s="1"/>
  <c r="O424" i="7"/>
  <c r="G424" i="7"/>
  <c r="I424" i="7"/>
  <c r="T424" i="7" s="1"/>
  <c r="K424" i="7"/>
  <c r="O423" i="7"/>
  <c r="K423" i="7"/>
  <c r="I423" i="7"/>
  <c r="O422" i="7"/>
  <c r="K422" i="7"/>
  <c r="I422" i="7"/>
  <c r="O421" i="7"/>
  <c r="K421" i="7"/>
  <c r="I421" i="7"/>
  <c r="O420" i="7"/>
  <c r="G420" i="7"/>
  <c r="T420" i="7" s="1"/>
  <c r="I420" i="7"/>
  <c r="K420" i="7"/>
  <c r="O419" i="7"/>
  <c r="K419" i="7"/>
  <c r="I419" i="7"/>
  <c r="O418" i="7"/>
  <c r="K418" i="7"/>
  <c r="I418" i="7"/>
  <c r="O417" i="7"/>
  <c r="K417" i="7"/>
  <c r="G417" i="7"/>
  <c r="T417" i="7" s="1"/>
  <c r="I417" i="7"/>
  <c r="O416" i="7"/>
  <c r="K416" i="7"/>
  <c r="I416" i="7"/>
  <c r="O415" i="7"/>
  <c r="K415" i="7"/>
  <c r="I415" i="7"/>
  <c r="O414" i="7"/>
  <c r="K414" i="7"/>
  <c r="I414" i="7"/>
  <c r="O413" i="7"/>
  <c r="K413" i="7"/>
  <c r="G413" i="7"/>
  <c r="I413" i="7"/>
  <c r="T413" i="7" s="1"/>
  <c r="O412" i="7"/>
  <c r="K412" i="7"/>
  <c r="I412" i="7"/>
  <c r="O411" i="7"/>
  <c r="K411" i="7"/>
  <c r="I411" i="7"/>
  <c r="O410" i="7"/>
  <c r="K410" i="7"/>
  <c r="I410" i="7"/>
  <c r="G410" i="7"/>
  <c r="T410" i="7"/>
  <c r="O409" i="7"/>
  <c r="K409" i="7"/>
  <c r="I409" i="7"/>
  <c r="O408" i="7"/>
  <c r="G408" i="7"/>
  <c r="I408" i="7"/>
  <c r="K408" i="7"/>
  <c r="T408" i="7"/>
  <c r="O407" i="7"/>
  <c r="K407" i="7"/>
  <c r="I407" i="7"/>
  <c r="O406" i="7"/>
  <c r="T406" i="7" s="1"/>
  <c r="K406" i="7"/>
  <c r="I406" i="7"/>
  <c r="O405" i="7"/>
  <c r="K405" i="7"/>
  <c r="G405" i="7"/>
  <c r="I405" i="7"/>
  <c r="O404" i="7"/>
  <c r="K404" i="7"/>
  <c r="I404" i="7"/>
  <c r="O403" i="7"/>
  <c r="I403" i="7"/>
  <c r="K403" i="7"/>
  <c r="O402" i="7"/>
  <c r="K402" i="7"/>
  <c r="T402" i="7" s="1"/>
  <c r="I402" i="7"/>
  <c r="O401" i="7"/>
  <c r="K401" i="7"/>
  <c r="I401" i="7"/>
  <c r="T401" i="7" s="1"/>
  <c r="O400" i="7"/>
  <c r="G400" i="7"/>
  <c r="I400" i="7"/>
  <c r="K400" i="7"/>
  <c r="T400" i="7" s="1"/>
  <c r="O399" i="7"/>
  <c r="G399" i="7"/>
  <c r="I399" i="7"/>
  <c r="T399" i="7" s="1"/>
  <c r="K399" i="7"/>
  <c r="O398" i="7"/>
  <c r="K398" i="7"/>
  <c r="I398" i="7"/>
  <c r="G398" i="7"/>
  <c r="O397" i="7"/>
  <c r="K397" i="7"/>
  <c r="I397" i="7"/>
  <c r="O396" i="7"/>
  <c r="K396" i="7"/>
  <c r="I396" i="7"/>
  <c r="O395" i="7"/>
  <c r="K395" i="7"/>
  <c r="I395" i="7"/>
  <c r="O394" i="7"/>
  <c r="K394" i="7"/>
  <c r="I394" i="7"/>
  <c r="O393" i="7"/>
  <c r="K393" i="7"/>
  <c r="I393" i="7"/>
  <c r="O392" i="7"/>
  <c r="G392" i="7"/>
  <c r="T392" i="7" s="1"/>
  <c r="I392" i="7"/>
  <c r="K392" i="7"/>
  <c r="O391" i="7"/>
  <c r="K391" i="7"/>
  <c r="T391" i="7" s="1"/>
  <c r="I391" i="7"/>
  <c r="O390" i="7"/>
  <c r="K390" i="7"/>
  <c r="I390" i="7"/>
  <c r="O389" i="7"/>
  <c r="K389" i="7"/>
  <c r="G389" i="7"/>
  <c r="I389" i="7"/>
  <c r="O388" i="7"/>
  <c r="K388" i="7"/>
  <c r="I388" i="7"/>
  <c r="O387" i="7"/>
  <c r="K387" i="7"/>
  <c r="I387" i="7"/>
  <c r="O386" i="7"/>
  <c r="K386" i="7"/>
  <c r="I386" i="7"/>
  <c r="G386" i="7"/>
  <c r="T386" i="7" s="1"/>
  <c r="O385" i="7"/>
  <c r="K385" i="7"/>
  <c r="I385" i="7"/>
  <c r="T385" i="7" s="1"/>
  <c r="O384" i="7"/>
  <c r="K384" i="7"/>
  <c r="I384" i="7"/>
  <c r="O383" i="7"/>
  <c r="K383" i="7"/>
  <c r="I383" i="7"/>
  <c r="O382" i="7"/>
  <c r="K382" i="7"/>
  <c r="I382" i="7"/>
  <c r="G382" i="7"/>
  <c r="O381" i="7"/>
  <c r="K381" i="7"/>
  <c r="T381" i="7" s="1"/>
  <c r="G381" i="7"/>
  <c r="I381" i="7"/>
  <c r="O380" i="7"/>
  <c r="G380" i="7"/>
  <c r="I380" i="7"/>
  <c r="K380" i="7"/>
  <c r="T380" i="7"/>
  <c r="O379" i="7"/>
  <c r="O377" i="7"/>
  <c r="O378" i="7"/>
  <c r="O612" i="7"/>
  <c r="K379" i="7"/>
  <c r="I379" i="7"/>
  <c r="K378" i="7"/>
  <c r="I378" i="7"/>
  <c r="I377" i="7"/>
  <c r="K377" i="7"/>
  <c r="G377" i="7"/>
  <c r="Q376" i="7"/>
  <c r="O376" i="7"/>
  <c r="M376" i="7"/>
  <c r="T376" i="7" s="1"/>
  <c r="I376" i="7"/>
  <c r="K376" i="7"/>
  <c r="Q374" i="7"/>
  <c r="Q601" i="7" s="1"/>
  <c r="O374" i="7"/>
  <c r="I374" i="7"/>
  <c r="K374" i="7"/>
  <c r="M374" i="7"/>
  <c r="O373" i="7"/>
  <c r="K373" i="7"/>
  <c r="I373" i="7"/>
  <c r="O372" i="7"/>
  <c r="K372" i="7"/>
  <c r="I372" i="7"/>
  <c r="O371" i="7"/>
  <c r="G371" i="7"/>
  <c r="I371" i="7"/>
  <c r="K371" i="7"/>
  <c r="T371" i="7" s="1"/>
  <c r="O370" i="7"/>
  <c r="K370" i="7"/>
  <c r="I370" i="7"/>
  <c r="T370" i="7" s="1"/>
  <c r="O369" i="7"/>
  <c r="K369" i="7"/>
  <c r="I369" i="7"/>
  <c r="O368" i="7"/>
  <c r="K368" i="7"/>
  <c r="G368" i="7"/>
  <c r="I368" i="7"/>
  <c r="T368" i="7"/>
  <c r="O367" i="7"/>
  <c r="K367" i="7"/>
  <c r="I367" i="7"/>
  <c r="O366" i="7"/>
  <c r="K366" i="7"/>
  <c r="I366" i="7"/>
  <c r="O365" i="7"/>
  <c r="K365" i="7"/>
  <c r="I365" i="7"/>
  <c r="O364" i="7"/>
  <c r="K364" i="7"/>
  <c r="I364" i="7"/>
  <c r="T364" i="7" s="1"/>
  <c r="O363" i="7"/>
  <c r="G363" i="7"/>
  <c r="I363" i="7"/>
  <c r="K363" i="7"/>
  <c r="T363" i="7" s="1"/>
  <c r="O362" i="7"/>
  <c r="O359" i="7"/>
  <c r="O360" i="7"/>
  <c r="O611" i="7" s="1"/>
  <c r="O361" i="7"/>
  <c r="K362" i="7"/>
  <c r="I362" i="7"/>
  <c r="K361" i="7"/>
  <c r="I361" i="7"/>
  <c r="I359" i="7"/>
  <c r="I360" i="7"/>
  <c r="I611" i="7"/>
  <c r="K360" i="7"/>
  <c r="G360" i="7"/>
  <c r="K359" i="7"/>
  <c r="K611" i="7" s="1"/>
  <c r="Q358" i="7"/>
  <c r="O358" i="7"/>
  <c r="I358" i="7"/>
  <c r="K358" i="7"/>
  <c r="M358" i="7"/>
  <c r="O357" i="7"/>
  <c r="T357" i="7" s="1"/>
  <c r="K357" i="7"/>
  <c r="I357" i="7"/>
  <c r="I356" i="7"/>
  <c r="I610" i="7"/>
  <c r="O356" i="7"/>
  <c r="K356" i="7"/>
  <c r="Q355" i="7"/>
  <c r="O355" i="7"/>
  <c r="M355" i="7"/>
  <c r="I355" i="7"/>
  <c r="K355" i="7"/>
  <c r="T355" i="7"/>
  <c r="O354" i="7"/>
  <c r="K354" i="7"/>
  <c r="I354" i="7"/>
  <c r="O353" i="7"/>
  <c r="K353" i="7"/>
  <c r="I353" i="7"/>
  <c r="G353" i="7"/>
  <c r="T353" i="7"/>
  <c r="O352" i="7"/>
  <c r="K352" i="7"/>
  <c r="I352" i="7"/>
  <c r="O351" i="7"/>
  <c r="K351" i="7"/>
  <c r="I351" i="7"/>
  <c r="O350" i="7"/>
  <c r="K350" i="7"/>
  <c r="T350" i="7" s="1"/>
  <c r="I350" i="7"/>
  <c r="O349" i="7"/>
  <c r="K349" i="7"/>
  <c r="I349" i="7"/>
  <c r="T349" i="7" s="1"/>
  <c r="O348" i="7"/>
  <c r="K348" i="7"/>
  <c r="I348" i="7"/>
  <c r="O347" i="7"/>
  <c r="K347" i="7"/>
  <c r="I347" i="7"/>
  <c r="O346" i="7"/>
  <c r="K346" i="7"/>
  <c r="T346" i="7" s="1"/>
  <c r="I346" i="7"/>
  <c r="O345" i="7"/>
  <c r="K345" i="7"/>
  <c r="I345" i="7"/>
  <c r="I609" i="7" s="1"/>
  <c r="O344" i="7"/>
  <c r="K344" i="7"/>
  <c r="I344" i="7"/>
  <c r="O343" i="7"/>
  <c r="T343" i="7" s="1"/>
  <c r="K343" i="7"/>
  <c r="I343" i="7"/>
  <c r="O342" i="7"/>
  <c r="G342" i="7"/>
  <c r="T342" i="7" s="1"/>
  <c r="I342" i="7"/>
  <c r="K342" i="7"/>
  <c r="O341" i="7"/>
  <c r="K341" i="7"/>
  <c r="K609" i="7" s="1"/>
  <c r="I341" i="7"/>
  <c r="Q340" i="7"/>
  <c r="O340" i="7"/>
  <c r="M340" i="7"/>
  <c r="T340" i="7" s="1"/>
  <c r="K340" i="7"/>
  <c r="I340" i="7"/>
  <c r="O338" i="7"/>
  <c r="T338" i="7" s="1"/>
  <c r="I338" i="7"/>
  <c r="K338" i="7"/>
  <c r="O337" i="7"/>
  <c r="K337" i="7"/>
  <c r="I337" i="7"/>
  <c r="O336" i="7"/>
  <c r="K336" i="7"/>
  <c r="I336" i="7"/>
  <c r="O335" i="7"/>
  <c r="K335" i="7"/>
  <c r="I335" i="7"/>
  <c r="O334" i="7"/>
  <c r="I334" i="7"/>
  <c r="K334" i="7"/>
  <c r="T334" i="7"/>
  <c r="O333" i="7"/>
  <c r="K333" i="7"/>
  <c r="I333" i="7"/>
  <c r="O332" i="7"/>
  <c r="K332" i="7"/>
  <c r="I332" i="7"/>
  <c r="O331" i="7"/>
  <c r="K331" i="7"/>
  <c r="T331" i="7" s="1"/>
  <c r="G331" i="7"/>
  <c r="I331" i="7"/>
  <c r="O330" i="7"/>
  <c r="T330" i="7" s="1"/>
  <c r="K330" i="7"/>
  <c r="I330" i="7"/>
  <c r="O329" i="7"/>
  <c r="K329" i="7"/>
  <c r="I329" i="7"/>
  <c r="O328" i="7"/>
  <c r="K328" i="7"/>
  <c r="I328" i="7"/>
  <c r="G328" i="7"/>
  <c r="O327" i="7"/>
  <c r="K327" i="7"/>
  <c r="I327" i="7"/>
  <c r="O326" i="7"/>
  <c r="K326" i="7"/>
  <c r="I326" i="7"/>
  <c r="O325" i="7"/>
  <c r="K325" i="7"/>
  <c r="I325" i="7"/>
  <c r="O324" i="7"/>
  <c r="K324" i="7"/>
  <c r="I324" i="7"/>
  <c r="G324" i="7"/>
  <c r="T324" i="7" s="1"/>
  <c r="O323" i="7"/>
  <c r="K323" i="7"/>
  <c r="G323" i="7"/>
  <c r="T323" i="7" s="1"/>
  <c r="I323" i="7"/>
  <c r="O322" i="7"/>
  <c r="K322" i="7"/>
  <c r="I322" i="7"/>
  <c r="T322" i="7" s="1"/>
  <c r="O321" i="7"/>
  <c r="K321" i="7"/>
  <c r="I321" i="7"/>
  <c r="O320" i="7"/>
  <c r="K320" i="7"/>
  <c r="I320" i="7"/>
  <c r="O319" i="7"/>
  <c r="K319" i="7"/>
  <c r="T319" i="7" s="1"/>
  <c r="I319" i="7"/>
  <c r="O318" i="7"/>
  <c r="K318" i="7"/>
  <c r="I318" i="7"/>
  <c r="O317" i="7"/>
  <c r="K317" i="7"/>
  <c r="I317" i="7"/>
  <c r="O316" i="7"/>
  <c r="K316" i="7"/>
  <c r="I316" i="7"/>
  <c r="O315" i="7"/>
  <c r="K315" i="7"/>
  <c r="I315" i="7"/>
  <c r="O314" i="7"/>
  <c r="G314" i="7"/>
  <c r="I314" i="7"/>
  <c r="K314" i="7"/>
  <c r="O313" i="7"/>
  <c r="K313" i="7"/>
  <c r="I313" i="7"/>
  <c r="O312" i="7"/>
  <c r="K312" i="7"/>
  <c r="I312" i="7"/>
  <c r="O311" i="7"/>
  <c r="K311" i="7"/>
  <c r="I311" i="7"/>
  <c r="O310" i="7"/>
  <c r="G310" i="7"/>
  <c r="I310" i="7"/>
  <c r="K310" i="7"/>
  <c r="T310" i="7" s="1"/>
  <c r="O309" i="7"/>
  <c r="K309" i="7"/>
  <c r="I309" i="7"/>
  <c r="O308" i="7"/>
  <c r="K308" i="7"/>
  <c r="I308" i="7"/>
  <c r="O307" i="7"/>
  <c r="K307" i="7"/>
  <c r="G307" i="7"/>
  <c r="I307" i="7"/>
  <c r="T307" i="7"/>
  <c r="O306" i="7"/>
  <c r="K306" i="7"/>
  <c r="I306" i="7"/>
  <c r="O305" i="7"/>
  <c r="K305" i="7"/>
  <c r="I305" i="7"/>
  <c r="O304" i="7"/>
  <c r="K304" i="7"/>
  <c r="O303" i="7"/>
  <c r="K303" i="7"/>
  <c r="G303" i="7"/>
  <c r="I303" i="7"/>
  <c r="T303" i="7" s="1"/>
  <c r="O302" i="7"/>
  <c r="G302" i="7"/>
  <c r="I302" i="7"/>
  <c r="T302" i="7" s="1"/>
  <c r="K302" i="7"/>
  <c r="O301" i="7"/>
  <c r="K301" i="7"/>
  <c r="I301" i="7"/>
  <c r="T301" i="7" s="1"/>
  <c r="O300" i="7"/>
  <c r="K300" i="7"/>
  <c r="I300" i="7"/>
  <c r="G300" i="7"/>
  <c r="T300" i="7" s="1"/>
  <c r="O299" i="7"/>
  <c r="K299" i="7"/>
  <c r="I299" i="7"/>
  <c r="O298" i="7"/>
  <c r="K298" i="7"/>
  <c r="I298" i="7"/>
  <c r="O297" i="7"/>
  <c r="K297" i="7"/>
  <c r="I297" i="7"/>
  <c r="O296" i="7"/>
  <c r="K296" i="7"/>
  <c r="I296" i="7"/>
  <c r="O295" i="7"/>
  <c r="K295" i="7"/>
  <c r="G295" i="7"/>
  <c r="I295" i="7"/>
  <c r="O294" i="7"/>
  <c r="K294" i="7"/>
  <c r="I294" i="7"/>
  <c r="O293" i="7"/>
  <c r="K293" i="7"/>
  <c r="I293" i="7"/>
  <c r="T293" i="7" s="1"/>
  <c r="O292" i="7"/>
  <c r="K292" i="7"/>
  <c r="I292" i="7"/>
  <c r="O291" i="7"/>
  <c r="K291" i="7"/>
  <c r="I291" i="7"/>
  <c r="O290" i="7"/>
  <c r="G290" i="7"/>
  <c r="T290" i="7" s="1"/>
  <c r="I290" i="7"/>
  <c r="K290" i="7"/>
  <c r="O289" i="7"/>
  <c r="T289" i="7" s="1"/>
  <c r="K289" i="7"/>
  <c r="I289" i="7"/>
  <c r="O288" i="7"/>
  <c r="K288" i="7"/>
  <c r="I288" i="7"/>
  <c r="O287" i="7"/>
  <c r="K287" i="7"/>
  <c r="G287" i="7"/>
  <c r="T287" i="7" s="1"/>
  <c r="I287" i="7"/>
  <c r="O286" i="7"/>
  <c r="G286" i="7"/>
  <c r="I286" i="7"/>
  <c r="K286" i="7"/>
  <c r="T286" i="7"/>
  <c r="O285" i="7"/>
  <c r="K285" i="7"/>
  <c r="I285" i="7"/>
  <c r="O284" i="7"/>
  <c r="T284" i="7" s="1"/>
  <c r="K284" i="7"/>
  <c r="I284" i="7"/>
  <c r="O283" i="7"/>
  <c r="K283" i="7"/>
  <c r="T283" i="7" s="1"/>
  <c r="I283" i="7"/>
  <c r="O282" i="7"/>
  <c r="K282" i="7"/>
  <c r="I282" i="7"/>
  <c r="O281" i="7"/>
  <c r="K281" i="7"/>
  <c r="I281" i="7"/>
  <c r="O280" i="7"/>
  <c r="K280" i="7"/>
  <c r="I280" i="7"/>
  <c r="G280" i="7"/>
  <c r="T280" i="7"/>
  <c r="O279" i="7"/>
  <c r="K279" i="7"/>
  <c r="I279" i="7"/>
  <c r="O278" i="7"/>
  <c r="G278" i="7"/>
  <c r="I278" i="7"/>
  <c r="K278" i="7"/>
  <c r="T278" i="7"/>
  <c r="O277" i="7"/>
  <c r="G277" i="7"/>
  <c r="I277" i="7"/>
  <c r="K277" i="7"/>
  <c r="T277" i="7" s="1"/>
  <c r="O276" i="7"/>
  <c r="K276" i="7"/>
  <c r="I276" i="7"/>
  <c r="O275" i="7"/>
  <c r="K275" i="7"/>
  <c r="G275" i="7"/>
  <c r="I275" i="7"/>
  <c r="T275" i="7" s="1"/>
  <c r="O274" i="7"/>
  <c r="G274" i="7"/>
  <c r="I274" i="7"/>
  <c r="T274" i="7" s="1"/>
  <c r="K274" i="7"/>
  <c r="O273" i="7"/>
  <c r="K273" i="7"/>
  <c r="I273" i="7"/>
  <c r="O272" i="7"/>
  <c r="K272" i="7"/>
  <c r="I272" i="7"/>
  <c r="O271" i="7"/>
  <c r="K271" i="7"/>
  <c r="G271" i="7"/>
  <c r="I271" i="7"/>
  <c r="T271" i="7"/>
  <c r="O270" i="7"/>
  <c r="K270" i="7"/>
  <c r="I270" i="7"/>
  <c r="O269" i="7"/>
  <c r="K269" i="7"/>
  <c r="I269" i="7"/>
  <c r="O268" i="7"/>
  <c r="K268" i="7"/>
  <c r="I268" i="7"/>
  <c r="O267" i="7"/>
  <c r="K267" i="7"/>
  <c r="G267" i="7"/>
  <c r="T267" i="7" s="1"/>
  <c r="I267" i="7"/>
  <c r="O266" i="7"/>
  <c r="K266" i="7"/>
  <c r="I266" i="7"/>
  <c r="O265" i="7"/>
  <c r="G265" i="7"/>
  <c r="T265" i="7" s="1"/>
  <c r="I265" i="7"/>
  <c r="K265" i="7"/>
  <c r="O264" i="7"/>
  <c r="K264" i="7"/>
  <c r="I264" i="7"/>
  <c r="O263" i="7"/>
  <c r="K263" i="7"/>
  <c r="G263" i="7"/>
  <c r="T263" i="7" s="1"/>
  <c r="I263" i="7"/>
  <c r="O262" i="7"/>
  <c r="T262" i="7" s="1"/>
  <c r="K262" i="7"/>
  <c r="I262" i="7"/>
  <c r="O261" i="7"/>
  <c r="K261" i="7"/>
  <c r="I261" i="7"/>
  <c r="O260" i="7"/>
  <c r="K260" i="7"/>
  <c r="I260" i="7"/>
  <c r="O259" i="7"/>
  <c r="K259" i="7"/>
  <c r="G259" i="7"/>
  <c r="I259" i="7"/>
  <c r="T259" i="7" s="1"/>
  <c r="O258" i="7"/>
  <c r="G258" i="7"/>
  <c r="I258" i="7"/>
  <c r="T258" i="7" s="1"/>
  <c r="K258" i="7"/>
  <c r="O257" i="7"/>
  <c r="K257" i="7"/>
  <c r="I257" i="7"/>
  <c r="O256" i="7"/>
  <c r="K256" i="7"/>
  <c r="I256" i="7"/>
  <c r="G256" i="7"/>
  <c r="T256" i="7" s="1"/>
  <c r="O255" i="7"/>
  <c r="K255" i="7"/>
  <c r="I255" i="7"/>
  <c r="O254" i="7"/>
  <c r="G254" i="7"/>
  <c r="I254" i="7"/>
  <c r="T254" i="7" s="1"/>
  <c r="K254" i="7"/>
  <c r="O253" i="7"/>
  <c r="K253" i="7"/>
  <c r="I253" i="7"/>
  <c r="O252" i="7"/>
  <c r="K252" i="7"/>
  <c r="I252" i="7"/>
  <c r="O251" i="7"/>
  <c r="K251" i="7"/>
  <c r="G251" i="7"/>
  <c r="I251" i="7"/>
  <c r="T251" i="7"/>
  <c r="O250" i="7"/>
  <c r="K250" i="7"/>
  <c r="I250" i="7"/>
  <c r="O249" i="7"/>
  <c r="K249" i="7"/>
  <c r="I249" i="7"/>
  <c r="O248" i="7"/>
  <c r="K248" i="7"/>
  <c r="T248" i="7" s="1"/>
  <c r="I248" i="7"/>
  <c r="G248" i="7"/>
  <c r="O247" i="7"/>
  <c r="T247" i="7" s="1"/>
  <c r="K247" i="7"/>
  <c r="I247" i="7"/>
  <c r="O246" i="7"/>
  <c r="K246" i="7"/>
  <c r="I246" i="7"/>
  <c r="O245" i="7"/>
  <c r="K245" i="7"/>
  <c r="I245" i="7"/>
  <c r="T245" i="7" s="1"/>
  <c r="O244" i="7"/>
  <c r="K244" i="7"/>
  <c r="I244" i="7"/>
  <c r="O243" i="7"/>
  <c r="K243" i="7"/>
  <c r="G243" i="7"/>
  <c r="I243" i="7"/>
  <c r="T243" i="7"/>
  <c r="O242" i="7"/>
  <c r="K242" i="7"/>
  <c r="I242" i="7"/>
  <c r="O241" i="7"/>
  <c r="K241" i="7"/>
  <c r="I241" i="7"/>
  <c r="O240" i="7"/>
  <c r="K240" i="7"/>
  <c r="I240" i="7"/>
  <c r="O239" i="7"/>
  <c r="K239" i="7"/>
  <c r="G239" i="7"/>
  <c r="T239" i="7" s="1"/>
  <c r="I239" i="7"/>
  <c r="O238" i="7"/>
  <c r="K238" i="7"/>
  <c r="I238" i="7"/>
  <c r="O237" i="7"/>
  <c r="K237" i="7"/>
  <c r="T237" i="7" s="1"/>
  <c r="I237" i="7"/>
  <c r="O236" i="7"/>
  <c r="K236" i="7"/>
  <c r="I236" i="7"/>
  <c r="O235" i="7"/>
  <c r="K235" i="7"/>
  <c r="I235" i="7"/>
  <c r="O234" i="7"/>
  <c r="G234" i="7"/>
  <c r="I234" i="7"/>
  <c r="K234" i="7"/>
  <c r="T234" i="7"/>
  <c r="O233" i="7"/>
  <c r="K233" i="7"/>
  <c r="I233" i="7"/>
  <c r="O232" i="7"/>
  <c r="K232" i="7"/>
  <c r="I232" i="7"/>
  <c r="O231" i="7"/>
  <c r="K231" i="7"/>
  <c r="G231" i="7"/>
  <c r="I231" i="7"/>
  <c r="O230" i="7"/>
  <c r="G230" i="7"/>
  <c r="T230" i="7" s="1"/>
  <c r="I230" i="7"/>
  <c r="K230" i="7"/>
  <c r="O229" i="7"/>
  <c r="K229" i="7"/>
  <c r="I229" i="7"/>
  <c r="O228" i="7"/>
  <c r="K228" i="7"/>
  <c r="T228" i="7" s="1"/>
  <c r="I228" i="7"/>
  <c r="O227" i="7"/>
  <c r="K227" i="7"/>
  <c r="I227" i="7"/>
  <c r="O226" i="7"/>
  <c r="K226" i="7"/>
  <c r="I226" i="7"/>
  <c r="O225" i="7"/>
  <c r="G225" i="7"/>
  <c r="I225" i="7"/>
  <c r="K225" i="7"/>
  <c r="T225" i="7"/>
  <c r="O224" i="7"/>
  <c r="K224" i="7"/>
  <c r="I224" i="7"/>
  <c r="G224" i="7"/>
  <c r="T224" i="7" s="1"/>
  <c r="O223" i="7"/>
  <c r="K223" i="7"/>
  <c r="I223" i="7"/>
  <c r="O222" i="7"/>
  <c r="K222" i="7"/>
  <c r="I222" i="7"/>
  <c r="O221" i="7"/>
  <c r="K221" i="7"/>
  <c r="I221" i="7"/>
  <c r="O220" i="7"/>
  <c r="K220" i="7"/>
  <c r="I220" i="7"/>
  <c r="O219" i="7"/>
  <c r="K219" i="7"/>
  <c r="G219" i="7"/>
  <c r="I219" i="7"/>
  <c r="O218" i="7"/>
  <c r="K218" i="7"/>
  <c r="T218" i="7" s="1"/>
  <c r="I218" i="7"/>
  <c r="O217" i="7"/>
  <c r="K217" i="7"/>
  <c r="I217" i="7"/>
  <c r="T217" i="7" s="1"/>
  <c r="O216" i="7"/>
  <c r="K216" i="7"/>
  <c r="I216" i="7"/>
  <c r="O215" i="7"/>
  <c r="K215" i="7"/>
  <c r="G215" i="7"/>
  <c r="I215" i="7"/>
  <c r="T215" i="7"/>
  <c r="O214" i="7"/>
  <c r="K214" i="7"/>
  <c r="O213" i="7"/>
  <c r="K213" i="7"/>
  <c r="I213" i="7"/>
  <c r="O212" i="7"/>
  <c r="K212" i="7"/>
  <c r="I212" i="7"/>
  <c r="O211" i="7"/>
  <c r="K211" i="7"/>
  <c r="I211" i="7"/>
  <c r="G211" i="7"/>
  <c r="T211" i="7" s="1"/>
  <c r="O210" i="7"/>
  <c r="K210" i="7"/>
  <c r="I210" i="7"/>
  <c r="O209" i="7"/>
  <c r="K209" i="7"/>
  <c r="I209" i="7"/>
  <c r="O208" i="7"/>
  <c r="K208" i="7"/>
  <c r="I208" i="7"/>
  <c r="O207" i="7"/>
  <c r="T207" i="7" s="1"/>
  <c r="K207" i="7"/>
  <c r="I207" i="7"/>
  <c r="O206" i="7"/>
  <c r="K206" i="7"/>
  <c r="I206" i="7"/>
  <c r="O205" i="7"/>
  <c r="K205" i="7"/>
  <c r="I205" i="7"/>
  <c r="T205" i="7" s="1"/>
  <c r="O204" i="7"/>
  <c r="K204" i="7"/>
  <c r="I204" i="7"/>
  <c r="O203" i="7"/>
  <c r="K203" i="7"/>
  <c r="I203" i="7"/>
  <c r="G203" i="7"/>
  <c r="T203" i="7"/>
  <c r="O202" i="7"/>
  <c r="K202" i="7"/>
  <c r="I202" i="7"/>
  <c r="O201" i="7"/>
  <c r="G201" i="7"/>
  <c r="I201" i="7"/>
  <c r="K201" i="7"/>
  <c r="T201" i="7"/>
  <c r="O200" i="7"/>
  <c r="G200" i="7"/>
  <c r="I200" i="7"/>
  <c r="K200" i="7"/>
  <c r="O199" i="7"/>
  <c r="K199" i="7"/>
  <c r="I199" i="7"/>
  <c r="O198" i="7"/>
  <c r="K198" i="7"/>
  <c r="G198" i="7"/>
  <c r="T198" i="7" s="1"/>
  <c r="I198" i="7"/>
  <c r="O197" i="7"/>
  <c r="K197" i="7"/>
  <c r="I197" i="7"/>
  <c r="O196" i="7"/>
  <c r="K196" i="7"/>
  <c r="I196" i="7"/>
  <c r="O195" i="7"/>
  <c r="K195" i="7"/>
  <c r="I195" i="7"/>
  <c r="G195" i="7"/>
  <c r="T195" i="7"/>
  <c r="O194" i="7"/>
  <c r="K194" i="7"/>
  <c r="G194" i="7"/>
  <c r="I194" i="7"/>
  <c r="O193" i="7"/>
  <c r="K193" i="7"/>
  <c r="I193" i="7"/>
  <c r="O192" i="7"/>
  <c r="K192" i="7"/>
  <c r="I192" i="7"/>
  <c r="O191" i="7"/>
  <c r="K191" i="7"/>
  <c r="I191" i="7"/>
  <c r="G191" i="7"/>
  <c r="T191" i="7" s="1"/>
  <c r="O190" i="7"/>
  <c r="K190" i="7"/>
  <c r="G190" i="7"/>
  <c r="T190" i="7" s="1"/>
  <c r="I190" i="7"/>
  <c r="O189" i="7"/>
  <c r="K189" i="7"/>
  <c r="I189" i="7"/>
  <c r="O188" i="7"/>
  <c r="K188" i="7"/>
  <c r="I188" i="7"/>
  <c r="O187" i="7"/>
  <c r="K187" i="7"/>
  <c r="I187" i="7"/>
  <c r="G187" i="7"/>
  <c r="T187" i="7"/>
  <c r="O186" i="7"/>
  <c r="K186" i="7"/>
  <c r="G186" i="7"/>
  <c r="I186" i="7"/>
  <c r="O185" i="7"/>
  <c r="K185" i="7"/>
  <c r="T185" i="7" s="1"/>
  <c r="I185" i="7"/>
  <c r="O184" i="7"/>
  <c r="K184" i="7"/>
  <c r="I184" i="7"/>
  <c r="O183" i="7"/>
  <c r="K183" i="7"/>
  <c r="I183" i="7"/>
  <c r="O182" i="7"/>
  <c r="K182" i="7"/>
  <c r="I182" i="7"/>
  <c r="O181" i="7"/>
  <c r="K181" i="7"/>
  <c r="I181" i="7"/>
  <c r="O180" i="7"/>
  <c r="K180" i="7"/>
  <c r="I180" i="7"/>
  <c r="O179" i="7"/>
  <c r="K179" i="7"/>
  <c r="I179" i="7"/>
  <c r="O178" i="7"/>
  <c r="K178" i="7"/>
  <c r="G178" i="7"/>
  <c r="I178" i="7"/>
  <c r="T178" i="7"/>
  <c r="O177" i="7"/>
  <c r="K177" i="7"/>
  <c r="I177" i="7"/>
  <c r="O176" i="7"/>
  <c r="G176" i="7"/>
  <c r="I176" i="7"/>
  <c r="K176" i="7"/>
  <c r="T176" i="7"/>
  <c r="O175" i="7"/>
  <c r="K175" i="7"/>
  <c r="I175" i="7"/>
  <c r="T175" i="7"/>
  <c r="O174" i="7"/>
  <c r="K174" i="7"/>
  <c r="G174" i="7"/>
  <c r="I174" i="7"/>
  <c r="T174" i="7" s="1"/>
  <c r="O173" i="7"/>
  <c r="G173" i="7"/>
  <c r="I173" i="7"/>
  <c r="T173" i="7" s="1"/>
  <c r="K173" i="7"/>
  <c r="O172" i="7"/>
  <c r="K172" i="7"/>
  <c r="I172" i="7"/>
  <c r="T172" i="7" s="1"/>
  <c r="O171" i="7"/>
  <c r="K171" i="7"/>
  <c r="I171" i="7"/>
  <c r="O170" i="7"/>
  <c r="T170" i="7" s="1"/>
  <c r="K170" i="7"/>
  <c r="I170" i="7"/>
  <c r="O169" i="7"/>
  <c r="K169" i="7"/>
  <c r="T169" i="7" s="1"/>
  <c r="I169" i="7"/>
  <c r="O168" i="7"/>
  <c r="K168" i="7"/>
  <c r="I168" i="7"/>
  <c r="O167" i="7"/>
  <c r="K167" i="7"/>
  <c r="I167" i="7"/>
  <c r="G167" i="7"/>
  <c r="T167" i="7" s="1"/>
  <c r="O166" i="7"/>
  <c r="K166" i="7"/>
  <c r="G166" i="7"/>
  <c r="I166" i="7"/>
  <c r="O165" i="7"/>
  <c r="K165" i="7"/>
  <c r="I165" i="7"/>
  <c r="O164" i="7"/>
  <c r="K164" i="7"/>
  <c r="I164" i="7"/>
  <c r="O163" i="7"/>
  <c r="K163" i="7"/>
  <c r="I163" i="7"/>
  <c r="G163" i="7"/>
  <c r="T163" i="7" s="1"/>
  <c r="O162" i="7"/>
  <c r="K162" i="7"/>
  <c r="T162" i="7" s="1"/>
  <c r="I162" i="7"/>
  <c r="O161" i="7"/>
  <c r="K161" i="7"/>
  <c r="I161" i="7"/>
  <c r="O160" i="7"/>
  <c r="K160" i="7"/>
  <c r="I160" i="7"/>
  <c r="O159" i="7"/>
  <c r="K159" i="7"/>
  <c r="I159" i="7"/>
  <c r="G159" i="7"/>
  <c r="T159" i="7"/>
  <c r="O158" i="7"/>
  <c r="K158" i="7"/>
  <c r="I158" i="7"/>
  <c r="O157" i="7"/>
  <c r="G157" i="7"/>
  <c r="I157" i="7"/>
  <c r="K157" i="7"/>
  <c r="T157" i="7"/>
  <c r="O156" i="7"/>
  <c r="G156" i="7"/>
  <c r="I156" i="7"/>
  <c r="K156" i="7"/>
  <c r="T156" i="7" s="1"/>
  <c r="O155" i="7"/>
  <c r="K155" i="7"/>
  <c r="I155" i="7"/>
  <c r="T155" i="7" s="1"/>
  <c r="O154" i="7"/>
  <c r="K154" i="7"/>
  <c r="I154" i="7"/>
  <c r="O153" i="7"/>
  <c r="K153" i="7"/>
  <c r="I153" i="7"/>
  <c r="O152" i="7"/>
  <c r="G152" i="7"/>
  <c r="T152" i="7" s="1"/>
  <c r="K152" i="7"/>
  <c r="O151" i="7"/>
  <c r="K151" i="7"/>
  <c r="I151" i="7"/>
  <c r="O150" i="7"/>
  <c r="K150" i="7"/>
  <c r="I150" i="7"/>
  <c r="O149" i="7"/>
  <c r="G149" i="7"/>
  <c r="I149" i="7"/>
  <c r="K149" i="7"/>
  <c r="T149" i="7"/>
  <c r="O148" i="7"/>
  <c r="K148" i="7"/>
  <c r="I148" i="7"/>
  <c r="O147" i="7"/>
  <c r="K147" i="7"/>
  <c r="I147" i="7"/>
  <c r="G147" i="7"/>
  <c r="T147" i="7"/>
  <c r="O146" i="7"/>
  <c r="K146" i="7"/>
  <c r="I146" i="7"/>
  <c r="O145" i="7"/>
  <c r="K145" i="7"/>
  <c r="I145" i="7"/>
  <c r="O144" i="7"/>
  <c r="K144" i="7"/>
  <c r="T144" i="7" s="1"/>
  <c r="I144" i="7"/>
  <c r="O143" i="7"/>
  <c r="K143" i="7"/>
  <c r="I143" i="7"/>
  <c r="O142" i="7"/>
  <c r="K142" i="7"/>
  <c r="I142" i="7"/>
  <c r="O141" i="7"/>
  <c r="K141" i="7"/>
  <c r="I141" i="7"/>
  <c r="O140" i="7"/>
  <c r="K140" i="7"/>
  <c r="T140" i="7" s="1"/>
  <c r="I140" i="7"/>
  <c r="O139" i="7"/>
  <c r="K139" i="7"/>
  <c r="I139" i="7"/>
  <c r="G139" i="7"/>
  <c r="O138" i="7"/>
  <c r="K138" i="7"/>
  <c r="I138" i="7"/>
  <c r="O137" i="7"/>
  <c r="K137" i="7"/>
  <c r="I137" i="7"/>
  <c r="O136" i="7"/>
  <c r="K136" i="7"/>
  <c r="I136" i="7"/>
  <c r="O135" i="7"/>
  <c r="K135" i="7"/>
  <c r="I135" i="7"/>
  <c r="O134" i="7"/>
  <c r="K134" i="7"/>
  <c r="I134" i="7"/>
  <c r="O133" i="7"/>
  <c r="K133" i="7"/>
  <c r="I133" i="7"/>
  <c r="O132" i="7"/>
  <c r="K132" i="7"/>
  <c r="I132" i="7"/>
  <c r="O131" i="7"/>
  <c r="K131" i="7"/>
  <c r="I131" i="7"/>
  <c r="G131" i="7"/>
  <c r="T131" i="7" s="1"/>
  <c r="O130" i="7"/>
  <c r="K130" i="7"/>
  <c r="I130" i="7"/>
  <c r="O129" i="7"/>
  <c r="K129" i="7"/>
  <c r="I129" i="7"/>
  <c r="O128" i="7"/>
  <c r="K128" i="7"/>
  <c r="I128" i="7"/>
  <c r="G128" i="7"/>
  <c r="T128" i="7"/>
  <c r="O127" i="7"/>
  <c r="K127" i="7"/>
  <c r="I127" i="7"/>
  <c r="O126" i="7"/>
  <c r="K126" i="7"/>
  <c r="I126" i="7"/>
  <c r="O125" i="7"/>
  <c r="K125" i="7"/>
  <c r="I125" i="7"/>
  <c r="O124" i="7"/>
  <c r="K124" i="7"/>
  <c r="G124" i="7"/>
  <c r="T124" i="7" s="1"/>
  <c r="I124" i="7"/>
  <c r="O123" i="7"/>
  <c r="K123" i="7"/>
  <c r="I123" i="7"/>
  <c r="O122" i="7"/>
  <c r="K122" i="7"/>
  <c r="I122" i="7"/>
  <c r="O121" i="7"/>
  <c r="T121" i="7" s="1"/>
  <c r="K121" i="7"/>
  <c r="I121" i="7"/>
  <c r="O120" i="7"/>
  <c r="K120" i="7"/>
  <c r="I120" i="7"/>
  <c r="O119" i="7"/>
  <c r="K119" i="7"/>
  <c r="I119" i="7"/>
  <c r="O118" i="7"/>
  <c r="K118" i="7"/>
  <c r="I118" i="7"/>
  <c r="O117" i="7"/>
  <c r="T117" i="7" s="1"/>
  <c r="K117" i="7"/>
  <c r="I117" i="7"/>
  <c r="O116" i="7"/>
  <c r="K116" i="7"/>
  <c r="I116" i="7"/>
  <c r="O115" i="7"/>
  <c r="I115" i="7"/>
  <c r="T115" i="7" s="1"/>
  <c r="K115" i="7"/>
  <c r="O114" i="7"/>
  <c r="G114" i="7"/>
  <c r="I114" i="7"/>
  <c r="K114" i="7"/>
  <c r="T114" i="7"/>
  <c r="O113" i="7"/>
  <c r="K113" i="7"/>
  <c r="I113" i="7"/>
  <c r="O112" i="7"/>
  <c r="K112" i="7"/>
  <c r="I112" i="7"/>
  <c r="O111" i="7"/>
  <c r="K111" i="7"/>
  <c r="T111" i="7" s="1"/>
  <c r="I111" i="7"/>
  <c r="O110" i="7"/>
  <c r="K110" i="7"/>
  <c r="I110" i="7"/>
  <c r="O109" i="7"/>
  <c r="K109" i="7"/>
  <c r="G109" i="7"/>
  <c r="I109" i="7"/>
  <c r="T109" i="7" s="1"/>
  <c r="O108" i="7"/>
  <c r="K108" i="7"/>
  <c r="I108" i="7"/>
  <c r="O107" i="7"/>
  <c r="K107" i="7"/>
  <c r="I107" i="7"/>
  <c r="O106" i="7"/>
  <c r="K106" i="7"/>
  <c r="G106" i="7"/>
  <c r="I106" i="7"/>
  <c r="T106" i="7"/>
  <c r="O105" i="7"/>
  <c r="K105" i="7"/>
  <c r="I105" i="7"/>
  <c r="O104" i="7"/>
  <c r="K104" i="7"/>
  <c r="I104" i="7"/>
  <c r="O103" i="7"/>
  <c r="K103" i="7"/>
  <c r="I103" i="7"/>
  <c r="G103" i="7"/>
  <c r="O102" i="7"/>
  <c r="G102" i="7"/>
  <c r="T102" i="7" s="1"/>
  <c r="I102" i="7"/>
  <c r="K102" i="7"/>
  <c r="O101" i="7"/>
  <c r="G101" i="7"/>
  <c r="I101" i="7"/>
  <c r="K101" i="7"/>
  <c r="T101" i="7"/>
  <c r="O100" i="7"/>
  <c r="K100" i="7"/>
  <c r="I100" i="7"/>
  <c r="O99" i="7"/>
  <c r="T99" i="7" s="1"/>
  <c r="K99" i="7"/>
  <c r="I99" i="7"/>
  <c r="O98" i="7"/>
  <c r="K98" i="7"/>
  <c r="I98" i="7"/>
  <c r="O97" i="7"/>
  <c r="K97" i="7"/>
  <c r="I97" i="7"/>
  <c r="T97" i="7" s="1"/>
  <c r="O96" i="7"/>
  <c r="K96" i="7"/>
  <c r="I96" i="7"/>
  <c r="O95" i="7"/>
  <c r="K95" i="7"/>
  <c r="I95" i="7"/>
  <c r="O94" i="7"/>
  <c r="G94" i="7"/>
  <c r="T94" i="7" s="1"/>
  <c r="I94" i="7"/>
  <c r="K94" i="7"/>
  <c r="O93" i="7"/>
  <c r="K93" i="7"/>
  <c r="I93" i="7"/>
  <c r="G93" i="7"/>
  <c r="T93" i="7"/>
  <c r="O92" i="7"/>
  <c r="K92" i="7"/>
  <c r="G92" i="7"/>
  <c r="I92" i="7"/>
  <c r="O91" i="7"/>
  <c r="K91" i="7"/>
  <c r="I91" i="7"/>
  <c r="O90" i="7"/>
  <c r="K90" i="7"/>
  <c r="I90" i="7"/>
  <c r="O89" i="7"/>
  <c r="K89" i="7"/>
  <c r="G89" i="7"/>
  <c r="I89" i="7"/>
  <c r="T89" i="7" s="1"/>
  <c r="O88" i="7"/>
  <c r="K88" i="7"/>
  <c r="I88" i="7"/>
  <c r="O87" i="7"/>
  <c r="K87" i="7"/>
  <c r="I87" i="7"/>
  <c r="O86" i="7"/>
  <c r="K86" i="7"/>
  <c r="I86" i="7"/>
  <c r="O85" i="7"/>
  <c r="G85" i="7"/>
  <c r="T85" i="7" s="1"/>
  <c r="I85" i="7"/>
  <c r="K85" i="7"/>
  <c r="O84" i="7"/>
  <c r="K84" i="7"/>
  <c r="I84" i="7"/>
  <c r="O83" i="7"/>
  <c r="K83" i="7"/>
  <c r="I83" i="7"/>
  <c r="O82" i="7"/>
  <c r="K82" i="7"/>
  <c r="G82" i="7"/>
  <c r="I82" i="7"/>
  <c r="O81" i="7"/>
  <c r="K81" i="7"/>
  <c r="I81" i="7"/>
  <c r="O80" i="7"/>
  <c r="K80" i="7"/>
  <c r="I80" i="7"/>
  <c r="O79" i="7"/>
  <c r="K79" i="7"/>
  <c r="I79" i="7"/>
  <c r="G79" i="7"/>
  <c r="T79" i="7" s="1"/>
  <c r="O78" i="7"/>
  <c r="K78" i="7"/>
  <c r="I78" i="7"/>
  <c r="O77" i="7"/>
  <c r="K77" i="7"/>
  <c r="I77" i="7"/>
  <c r="O76" i="7"/>
  <c r="K76" i="7"/>
  <c r="I76" i="7"/>
  <c r="O75" i="7"/>
  <c r="G75" i="7"/>
  <c r="T75" i="7" s="1"/>
  <c r="I75" i="7"/>
  <c r="K75" i="7"/>
  <c r="O74" i="7"/>
  <c r="K74" i="7"/>
  <c r="T74" i="7" s="1"/>
  <c r="I74" i="7"/>
  <c r="O73" i="7"/>
  <c r="K73" i="7"/>
  <c r="I73" i="7"/>
  <c r="G73" i="7"/>
  <c r="O72" i="7"/>
  <c r="K72" i="7"/>
  <c r="G72" i="7"/>
  <c r="I72" i="7"/>
  <c r="T72" i="7"/>
  <c r="O71" i="7"/>
  <c r="K71" i="7"/>
  <c r="I71" i="7"/>
  <c r="O70" i="7"/>
  <c r="I70" i="7"/>
  <c r="K70" i="7"/>
  <c r="O69" i="7"/>
  <c r="K69" i="7"/>
  <c r="T69" i="7" s="1"/>
  <c r="I69" i="7"/>
  <c r="O68" i="7"/>
  <c r="G68" i="7"/>
  <c r="I68" i="7"/>
  <c r="K68" i="7"/>
  <c r="O67" i="7"/>
  <c r="K67" i="7"/>
  <c r="I67" i="7"/>
  <c r="O66" i="7"/>
  <c r="K66" i="7"/>
  <c r="I66" i="7"/>
  <c r="O65" i="7"/>
  <c r="K65" i="7"/>
  <c r="I65" i="7"/>
  <c r="G65" i="7"/>
  <c r="O64" i="7"/>
  <c r="K64" i="7"/>
  <c r="I64" i="7"/>
  <c r="O63" i="7"/>
  <c r="K63" i="7"/>
  <c r="I63" i="7"/>
  <c r="O62" i="7"/>
  <c r="T62" i="7" s="1"/>
  <c r="K62" i="7"/>
  <c r="I62" i="7"/>
  <c r="O61" i="7"/>
  <c r="K61" i="7"/>
  <c r="T61" i="7" s="1"/>
  <c r="I61" i="7"/>
  <c r="G61" i="7"/>
  <c r="O60" i="7"/>
  <c r="K60" i="7"/>
  <c r="I60" i="7"/>
  <c r="O59" i="7"/>
  <c r="K59" i="7"/>
  <c r="I59" i="7"/>
  <c r="O58" i="7"/>
  <c r="K58" i="7"/>
  <c r="I58" i="7"/>
  <c r="O57" i="7"/>
  <c r="G57" i="7"/>
  <c r="I57" i="7"/>
  <c r="K57" i="7"/>
  <c r="O56" i="7"/>
  <c r="K56" i="7"/>
  <c r="I56" i="7"/>
  <c r="O55" i="7"/>
  <c r="K55" i="7"/>
  <c r="G55" i="7"/>
  <c r="T55" i="7" s="1"/>
  <c r="I55" i="7"/>
  <c r="O54" i="7"/>
  <c r="K54" i="7"/>
  <c r="I54" i="7"/>
  <c r="T54" i="7" s="1"/>
  <c r="O53" i="7"/>
  <c r="K53" i="7"/>
  <c r="I53" i="7"/>
  <c r="G53" i="7"/>
  <c r="T53" i="7" s="1"/>
  <c r="O52" i="7"/>
  <c r="K52" i="7"/>
  <c r="I52" i="7"/>
  <c r="O51" i="7"/>
  <c r="G51" i="7"/>
  <c r="I51" i="7"/>
  <c r="T51" i="7" s="1"/>
  <c r="K51" i="7"/>
  <c r="O50" i="7"/>
  <c r="K50" i="7"/>
  <c r="I50" i="7"/>
  <c r="T50" i="7" s="1"/>
  <c r="O49" i="7"/>
  <c r="K49" i="7"/>
  <c r="I49" i="7"/>
  <c r="O48" i="7"/>
  <c r="K48" i="7"/>
  <c r="I48" i="7"/>
  <c r="O47" i="7"/>
  <c r="K47" i="7"/>
  <c r="I47" i="7"/>
  <c r="O46" i="7"/>
  <c r="K46" i="7"/>
  <c r="I46" i="7"/>
  <c r="O45" i="7"/>
  <c r="K45" i="7"/>
  <c r="I45" i="7"/>
  <c r="O44" i="7"/>
  <c r="T44" i="7" s="1"/>
  <c r="K44" i="7"/>
  <c r="I44" i="7"/>
  <c r="O43" i="7"/>
  <c r="K43" i="7"/>
  <c r="I43" i="7"/>
  <c r="O42" i="7"/>
  <c r="G42" i="7"/>
  <c r="I42" i="7"/>
  <c r="K42" i="7"/>
  <c r="T42" i="7"/>
  <c r="O41" i="7"/>
  <c r="K41" i="7"/>
  <c r="I41" i="7"/>
  <c r="O40" i="7"/>
  <c r="K40" i="7"/>
  <c r="G40" i="7"/>
  <c r="I40" i="7"/>
  <c r="T40" i="7"/>
  <c r="O39" i="7"/>
  <c r="K39" i="7"/>
  <c r="I39" i="7"/>
  <c r="O38" i="7"/>
  <c r="K38" i="7"/>
  <c r="I38" i="7"/>
  <c r="O37" i="7"/>
  <c r="K37" i="7"/>
  <c r="I37" i="7"/>
  <c r="O36" i="7"/>
  <c r="K36" i="7"/>
  <c r="I36" i="7"/>
  <c r="O35" i="7"/>
  <c r="K35" i="7"/>
  <c r="I35" i="7"/>
  <c r="O34" i="7"/>
  <c r="K34" i="7"/>
  <c r="I34" i="7"/>
  <c r="G34" i="7"/>
  <c r="T34" i="7"/>
  <c r="O33" i="7"/>
  <c r="K33" i="7"/>
  <c r="I33" i="7"/>
  <c r="O32" i="7"/>
  <c r="T32" i="7" s="1"/>
  <c r="K32" i="7"/>
  <c r="I32" i="7"/>
  <c r="O31" i="7"/>
  <c r="K31" i="7"/>
  <c r="I31" i="7"/>
  <c r="O30" i="7"/>
  <c r="K30" i="7"/>
  <c r="I30" i="7"/>
  <c r="O29" i="7"/>
  <c r="G29" i="7"/>
  <c r="I29" i="7"/>
  <c r="K29" i="7"/>
  <c r="T29" i="7" s="1"/>
  <c r="O28" i="7"/>
  <c r="K28" i="7"/>
  <c r="I28" i="7"/>
  <c r="O27" i="7"/>
  <c r="K27" i="7"/>
  <c r="I27" i="7"/>
  <c r="O26" i="7"/>
  <c r="K26" i="7"/>
  <c r="I26" i="7"/>
  <c r="O25" i="7"/>
  <c r="K25" i="7"/>
  <c r="T25" i="7" s="1"/>
  <c r="I25" i="7"/>
  <c r="O24" i="7"/>
  <c r="K24" i="7"/>
  <c r="I24" i="7"/>
  <c r="O23" i="7"/>
  <c r="G23" i="7"/>
  <c r="I23" i="7"/>
  <c r="K23" i="7"/>
  <c r="T23" i="7" s="1"/>
  <c r="O22" i="7"/>
  <c r="K22" i="7"/>
  <c r="I22" i="7"/>
  <c r="O21" i="7"/>
  <c r="K21" i="7"/>
  <c r="I21" i="7"/>
  <c r="O20" i="7"/>
  <c r="K20" i="7"/>
  <c r="I20" i="7"/>
  <c r="O19" i="7"/>
  <c r="K19" i="7"/>
  <c r="I19" i="7"/>
  <c r="O18" i="7"/>
  <c r="K18" i="7"/>
  <c r="I18" i="7"/>
  <c r="O17" i="7"/>
  <c r="K17" i="7"/>
  <c r="I17" i="7"/>
  <c r="O16" i="7"/>
  <c r="K16" i="7"/>
  <c r="I16" i="7"/>
  <c r="O15" i="7"/>
  <c r="K15" i="7"/>
  <c r="I15" i="7"/>
  <c r="O14" i="7"/>
  <c r="G14" i="7"/>
  <c r="I14" i="7"/>
  <c r="T14" i="7" s="1"/>
  <c r="K14" i="7"/>
  <c r="O13" i="7"/>
  <c r="K13" i="7"/>
  <c r="I13" i="7"/>
  <c r="O12" i="7"/>
  <c r="K12" i="7"/>
  <c r="I12" i="7"/>
  <c r="O11" i="7"/>
  <c r="T11" i="7" s="1"/>
  <c r="K11" i="7"/>
  <c r="I11" i="7"/>
  <c r="O10" i="7"/>
  <c r="K10" i="7"/>
  <c r="K6" i="7"/>
  <c r="K7" i="7"/>
  <c r="K8" i="7"/>
  <c r="K9" i="7"/>
  <c r="K608" i="7" s="1"/>
  <c r="K607" i="7" s="1"/>
  <c r="K600" i="7"/>
  <c r="I10" i="7"/>
  <c r="I608" i="7" s="1"/>
  <c r="I607" i="7" s="1"/>
  <c r="O9" i="7"/>
  <c r="G9" i="7"/>
  <c r="I9" i="7"/>
  <c r="T9" i="7"/>
  <c r="O8" i="7"/>
  <c r="I8" i="7"/>
  <c r="O7" i="7"/>
  <c r="G7" i="7"/>
  <c r="T7" i="7" s="1"/>
  <c r="I7" i="7"/>
  <c r="G599" i="7"/>
  <c r="G598" i="7"/>
  <c r="T598" i="7"/>
  <c r="G597" i="7"/>
  <c r="G596" i="7"/>
  <c r="G594" i="7"/>
  <c r="T594" i="7"/>
  <c r="G593" i="7"/>
  <c r="G591" i="7"/>
  <c r="G590" i="7"/>
  <c r="G588" i="7"/>
  <c r="G586" i="7"/>
  <c r="T586" i="7" s="1"/>
  <c r="G585" i="7"/>
  <c r="G584" i="7"/>
  <c r="G582" i="7"/>
  <c r="T582" i="7" s="1"/>
  <c r="G574" i="7"/>
  <c r="G573" i="7"/>
  <c r="G572" i="7"/>
  <c r="T572" i="7" s="1"/>
  <c r="G571" i="7"/>
  <c r="G569" i="7"/>
  <c r="G568" i="7"/>
  <c r="T568" i="7"/>
  <c r="G566" i="7"/>
  <c r="G565" i="7"/>
  <c r="G562" i="7"/>
  <c r="T562" i="7" s="1"/>
  <c r="G561" i="7"/>
  <c r="G559" i="7"/>
  <c r="T559" i="7" s="1"/>
  <c r="G558" i="7"/>
  <c r="G555" i="7"/>
  <c r="G553" i="7"/>
  <c r="G552" i="7"/>
  <c r="T552" i="7" s="1"/>
  <c r="G550" i="7"/>
  <c r="T550" i="7" s="1"/>
  <c r="G549" i="7"/>
  <c r="G547" i="7"/>
  <c r="G546" i="7"/>
  <c r="G543" i="7"/>
  <c r="G542" i="7"/>
  <c r="G540" i="7"/>
  <c r="T540" i="7" s="1"/>
  <c r="G537" i="7"/>
  <c r="T537" i="7"/>
  <c r="G534" i="7"/>
  <c r="G533" i="7"/>
  <c r="G529" i="7"/>
  <c r="G528" i="7"/>
  <c r="G527" i="7"/>
  <c r="G524" i="7"/>
  <c r="G523" i="7"/>
  <c r="G520" i="7"/>
  <c r="G519" i="7"/>
  <c r="G518" i="7"/>
  <c r="G517" i="7"/>
  <c r="T517" i="7" s="1"/>
  <c r="G515" i="7"/>
  <c r="G512" i="7"/>
  <c r="T512" i="7" s="1"/>
  <c r="G511" i="7"/>
  <c r="G509" i="7"/>
  <c r="T509" i="7" s="1"/>
  <c r="G508" i="7"/>
  <c r="G506" i="7"/>
  <c r="T506" i="7" s="1"/>
  <c r="G505" i="7"/>
  <c r="G503" i="7"/>
  <c r="T503" i="7" s="1"/>
  <c r="G501" i="7"/>
  <c r="G500" i="7"/>
  <c r="G495" i="7"/>
  <c r="G492" i="7"/>
  <c r="G491" i="7"/>
  <c r="G484" i="7"/>
  <c r="G483" i="7"/>
  <c r="T483" i="7" s="1"/>
  <c r="G480" i="7"/>
  <c r="G479" i="7"/>
  <c r="G476" i="7"/>
  <c r="G475" i="7"/>
  <c r="T475" i="7" s="1"/>
  <c r="G471" i="7"/>
  <c r="G468" i="7"/>
  <c r="G467" i="7"/>
  <c r="G465" i="7"/>
  <c r="G464" i="7"/>
  <c r="G463" i="7"/>
  <c r="T463" i="7" s="1"/>
  <c r="G462" i="7"/>
  <c r="G460" i="7"/>
  <c r="T460" i="7" s="1"/>
  <c r="G457" i="7"/>
  <c r="T457" i="7"/>
  <c r="G456" i="7"/>
  <c r="G455" i="7"/>
  <c r="G453" i="7"/>
  <c r="G452" i="7"/>
  <c r="T452" i="7" s="1"/>
  <c r="G451" i="7"/>
  <c r="G449" i="7"/>
  <c r="G448" i="7"/>
  <c r="T448" i="7" s="1"/>
  <c r="G447" i="7"/>
  <c r="G444" i="7"/>
  <c r="G442" i="7"/>
  <c r="T442" i="7" s="1"/>
  <c r="G440" i="7"/>
  <c r="G439" i="7"/>
  <c r="G437" i="7"/>
  <c r="G436" i="7"/>
  <c r="G435" i="7"/>
  <c r="G434" i="7"/>
  <c r="G432" i="7"/>
  <c r="G430" i="7"/>
  <c r="G428" i="7"/>
  <c r="G423" i="7"/>
  <c r="G422" i="7"/>
  <c r="G421" i="7"/>
  <c r="T421" i="7" s="1"/>
  <c r="G419" i="7"/>
  <c r="G418" i="7"/>
  <c r="G416" i="7"/>
  <c r="T416" i="7"/>
  <c r="G415" i="7"/>
  <c r="G414" i="7"/>
  <c r="G412" i="7"/>
  <c r="G411" i="7"/>
  <c r="T411" i="7" s="1"/>
  <c r="G409" i="7"/>
  <c r="G407" i="7"/>
  <c r="G406" i="7"/>
  <c r="G404" i="7"/>
  <c r="T404" i="7" s="1"/>
  <c r="G402" i="7"/>
  <c r="G401" i="7"/>
  <c r="G397" i="7"/>
  <c r="T397" i="7" s="1"/>
  <c r="G396" i="7"/>
  <c r="G395" i="7"/>
  <c r="T395" i="7" s="1"/>
  <c r="G394" i="7"/>
  <c r="T394" i="7" s="1"/>
  <c r="G393" i="7"/>
  <c r="G391" i="7"/>
  <c r="G390" i="7"/>
  <c r="T390" i="7" s="1"/>
  <c r="G388" i="7"/>
  <c r="G387" i="7"/>
  <c r="G385" i="7"/>
  <c r="G384" i="7"/>
  <c r="G383" i="7"/>
  <c r="G379" i="7"/>
  <c r="T379" i="7" s="1"/>
  <c r="G378" i="7"/>
  <c r="G373" i="7"/>
  <c r="G372" i="7"/>
  <c r="T372" i="7"/>
  <c r="G370" i="7"/>
  <c r="G369" i="7"/>
  <c r="T369" i="7" s="1"/>
  <c r="G367" i="7"/>
  <c r="G366" i="7"/>
  <c r="G365" i="7"/>
  <c r="G364" i="7"/>
  <c r="G362" i="7"/>
  <c r="T362" i="7" s="1"/>
  <c r="G361" i="7"/>
  <c r="G359" i="7"/>
  <c r="T359" i="7" s="1"/>
  <c r="G357" i="7"/>
  <c r="G356" i="7"/>
  <c r="G610" i="7" s="1"/>
  <c r="G354" i="7"/>
  <c r="G352" i="7"/>
  <c r="G351" i="7"/>
  <c r="G350" i="7"/>
  <c r="G349" i="7"/>
  <c r="G348" i="7"/>
  <c r="T348" i="7" s="1"/>
  <c r="G347" i="7"/>
  <c r="G346" i="7"/>
  <c r="G345" i="7"/>
  <c r="T345" i="7" s="1"/>
  <c r="G344" i="7"/>
  <c r="T344" i="7" s="1"/>
  <c r="G343" i="7"/>
  <c r="G341" i="7"/>
  <c r="G337" i="7"/>
  <c r="G336" i="7"/>
  <c r="G335" i="7"/>
  <c r="G333" i="7"/>
  <c r="G332" i="7"/>
  <c r="T332" i="7"/>
  <c r="G330" i="7"/>
  <c r="G329" i="7"/>
  <c r="T329" i="7" s="1"/>
  <c r="G327" i="7"/>
  <c r="G326" i="7"/>
  <c r="T326" i="7" s="1"/>
  <c r="G322" i="7"/>
  <c r="G320" i="7"/>
  <c r="T320" i="7" s="1"/>
  <c r="G319" i="7"/>
  <c r="G318" i="7"/>
  <c r="T318" i="7"/>
  <c r="G317" i="7"/>
  <c r="G316" i="7"/>
  <c r="G315" i="7"/>
  <c r="T315" i="7"/>
  <c r="G313" i="7"/>
  <c r="G312" i="7"/>
  <c r="T312" i="7" s="1"/>
  <c r="G311" i="7"/>
  <c r="G309" i="7"/>
  <c r="G308" i="7"/>
  <c r="T308" i="7" s="1"/>
  <c r="G306" i="7"/>
  <c r="G304" i="7"/>
  <c r="G301" i="7"/>
  <c r="G299" i="7"/>
  <c r="G298" i="7"/>
  <c r="G297" i="7"/>
  <c r="T297" i="7" s="1"/>
  <c r="G296" i="7"/>
  <c r="G294" i="7"/>
  <c r="G293" i="7"/>
  <c r="G292" i="7"/>
  <c r="T292" i="7" s="1"/>
  <c r="G291" i="7"/>
  <c r="T291" i="7"/>
  <c r="G289" i="7"/>
  <c r="G288" i="7"/>
  <c r="T288" i="7" s="1"/>
  <c r="G285" i="7"/>
  <c r="T285" i="7"/>
  <c r="G284" i="7"/>
  <c r="G283" i="7"/>
  <c r="G282" i="7"/>
  <c r="T282" i="7"/>
  <c r="G281" i="7"/>
  <c r="G279" i="7"/>
  <c r="G276" i="7"/>
  <c r="G273" i="7"/>
  <c r="T273" i="7" s="1"/>
  <c r="G272" i="7"/>
  <c r="G270" i="7"/>
  <c r="T270" i="7"/>
  <c r="G269" i="7"/>
  <c r="G268" i="7"/>
  <c r="G266" i="7"/>
  <c r="T266" i="7" s="1"/>
  <c r="G264" i="7"/>
  <c r="G262" i="7"/>
  <c r="G261" i="7"/>
  <c r="T261" i="7" s="1"/>
  <c r="G260" i="7"/>
  <c r="G257" i="7"/>
  <c r="G255" i="7"/>
  <c r="G253" i="7"/>
  <c r="G252" i="7"/>
  <c r="T252" i="7" s="1"/>
  <c r="G250" i="7"/>
  <c r="T250" i="7"/>
  <c r="G249" i="7"/>
  <c r="G247" i="7"/>
  <c r="G246" i="7"/>
  <c r="T246" i="7" s="1"/>
  <c r="G245" i="7"/>
  <c r="G244" i="7"/>
  <c r="T244" i="7"/>
  <c r="G242" i="7"/>
  <c r="G240" i="7"/>
  <c r="G238" i="7"/>
  <c r="T238" i="7" s="1"/>
  <c r="G237" i="7"/>
  <c r="G236" i="7"/>
  <c r="T236" i="7" s="1"/>
  <c r="G235" i="7"/>
  <c r="T235" i="7" s="1"/>
  <c r="G233" i="7"/>
  <c r="G232" i="7"/>
  <c r="G229" i="7"/>
  <c r="T229" i="7" s="1"/>
  <c r="G228" i="7"/>
  <c r="G227" i="7"/>
  <c r="G226" i="7"/>
  <c r="G223" i="7"/>
  <c r="G222" i="7"/>
  <c r="G221" i="7"/>
  <c r="G220" i="7"/>
  <c r="T220" i="7"/>
  <c r="G218" i="7"/>
  <c r="G217" i="7"/>
  <c r="G216" i="7"/>
  <c r="G213" i="7"/>
  <c r="G212" i="7"/>
  <c r="G209" i="7"/>
  <c r="G208" i="7"/>
  <c r="G207" i="7"/>
  <c r="G206" i="7"/>
  <c r="T206" i="7" s="1"/>
  <c r="G205" i="7"/>
  <c r="G204" i="7"/>
  <c r="G202" i="7"/>
  <c r="G199" i="7"/>
  <c r="T199" i="7" s="1"/>
  <c r="G197" i="7"/>
  <c r="G196" i="7"/>
  <c r="T196" i="7"/>
  <c r="G193" i="7"/>
  <c r="G192" i="7"/>
  <c r="T192" i="7" s="1"/>
  <c r="G189" i="7"/>
  <c r="T189" i="7"/>
  <c r="G188" i="7"/>
  <c r="G185" i="7"/>
  <c r="G184" i="7"/>
  <c r="G183" i="7"/>
  <c r="G182" i="7"/>
  <c r="T182" i="7" s="1"/>
  <c r="G181" i="7"/>
  <c r="G180" i="7"/>
  <c r="G179" i="7"/>
  <c r="T179" i="7" s="1"/>
  <c r="G177" i="7"/>
  <c r="T177" i="7" s="1"/>
  <c r="G172" i="7"/>
  <c r="G171" i="7"/>
  <c r="G170" i="7"/>
  <c r="G169" i="7"/>
  <c r="G168" i="7"/>
  <c r="T168" i="7" s="1"/>
  <c r="G165" i="7"/>
  <c r="G164" i="7"/>
  <c r="T164" i="7" s="1"/>
  <c r="G162" i="7"/>
  <c r="G161" i="7"/>
  <c r="G160" i="7"/>
  <c r="G158" i="7"/>
  <c r="G155" i="7"/>
  <c r="G154" i="7"/>
  <c r="G153" i="7"/>
  <c r="G151" i="7"/>
  <c r="T151" i="7" s="1"/>
  <c r="G150" i="7"/>
  <c r="G148" i="7"/>
  <c r="T148" i="7" s="1"/>
  <c r="G146" i="7"/>
  <c r="G145" i="7"/>
  <c r="T145" i="7" s="1"/>
  <c r="G144" i="7"/>
  <c r="G143" i="7"/>
  <c r="G142" i="7"/>
  <c r="T142" i="7" s="1"/>
  <c r="G141" i="7"/>
  <c r="T141" i="7" s="1"/>
  <c r="G140" i="7"/>
  <c r="G138" i="7"/>
  <c r="G137" i="7"/>
  <c r="G135" i="7"/>
  <c r="G134" i="7"/>
  <c r="G133" i="7"/>
  <c r="G132" i="7"/>
  <c r="T132" i="7" s="1"/>
  <c r="G130" i="7"/>
  <c r="T130" i="7" s="1"/>
  <c r="G129" i="7"/>
  <c r="T129" i="7"/>
  <c r="G127" i="7"/>
  <c r="T127" i="7" s="1"/>
  <c r="G126" i="7"/>
  <c r="T126" i="7" s="1"/>
  <c r="G125" i="7"/>
  <c r="G123" i="7"/>
  <c r="T123" i="7"/>
  <c r="G122" i="7"/>
  <c r="T122" i="7" s="1"/>
  <c r="G121" i="7"/>
  <c r="G120" i="7"/>
  <c r="G119" i="7"/>
  <c r="T119" i="7" s="1"/>
  <c r="G118" i="7"/>
  <c r="G116" i="7"/>
  <c r="T116" i="7"/>
  <c r="G113" i="7"/>
  <c r="G112" i="7"/>
  <c r="T112" i="7" s="1"/>
  <c r="G111" i="7"/>
  <c r="G110" i="7"/>
  <c r="G108" i="7"/>
  <c r="T108" i="7" s="1"/>
  <c r="G107" i="7"/>
  <c r="G105" i="7"/>
  <c r="G104" i="7"/>
  <c r="G100" i="7"/>
  <c r="G99" i="7"/>
  <c r="G98" i="7"/>
  <c r="T98" i="7"/>
  <c r="G97" i="7"/>
  <c r="G96" i="7"/>
  <c r="G95" i="7"/>
  <c r="T95" i="7"/>
  <c r="G91" i="7"/>
  <c r="G90" i="7"/>
  <c r="G88" i="7"/>
  <c r="T88" i="7"/>
  <c r="G87" i="7"/>
  <c r="T87" i="7" s="1"/>
  <c r="G86" i="7"/>
  <c r="T86" i="7" s="1"/>
  <c r="G84" i="7"/>
  <c r="T84" i="7" s="1"/>
  <c r="G83" i="7"/>
  <c r="T83" i="7"/>
  <c r="G81" i="7"/>
  <c r="G80" i="7"/>
  <c r="T80" i="7" s="1"/>
  <c r="G78" i="7"/>
  <c r="G77" i="7"/>
  <c r="G76" i="7"/>
  <c r="T76" i="7" s="1"/>
  <c r="G74" i="7"/>
  <c r="G71" i="7"/>
  <c r="G69" i="7"/>
  <c r="G67" i="7"/>
  <c r="T67" i="7" s="1"/>
  <c r="G66" i="7"/>
  <c r="G64" i="7"/>
  <c r="G63" i="7"/>
  <c r="T63" i="7" s="1"/>
  <c r="G62" i="7"/>
  <c r="G60" i="7"/>
  <c r="T60" i="7" s="1"/>
  <c r="G59" i="7"/>
  <c r="T59" i="7" s="1"/>
  <c r="G58" i="7"/>
  <c r="G56" i="7"/>
  <c r="T56" i="7" s="1"/>
  <c r="G54" i="7"/>
  <c r="G52" i="7"/>
  <c r="G50" i="7"/>
  <c r="G49" i="7"/>
  <c r="T49" i="7" s="1"/>
  <c r="G48" i="7"/>
  <c r="G47" i="7"/>
  <c r="G46" i="7"/>
  <c r="G45" i="7"/>
  <c r="T45" i="7"/>
  <c r="G44" i="7"/>
  <c r="G41" i="7"/>
  <c r="T41" i="7" s="1"/>
  <c r="G39" i="7"/>
  <c r="G38" i="7"/>
  <c r="T38" i="7" s="1"/>
  <c r="G37" i="7"/>
  <c r="G36" i="7"/>
  <c r="T36" i="7" s="1"/>
  <c r="G33" i="7"/>
  <c r="T33" i="7" s="1"/>
  <c r="G32" i="7"/>
  <c r="G30" i="7"/>
  <c r="T30" i="7" s="1"/>
  <c r="G28" i="7"/>
  <c r="T28" i="7"/>
  <c r="G27" i="7"/>
  <c r="G26" i="7"/>
  <c r="T26" i="7" s="1"/>
  <c r="G25" i="7"/>
  <c r="G24" i="7"/>
  <c r="T24" i="7" s="1"/>
  <c r="G22" i="7"/>
  <c r="G21" i="7"/>
  <c r="T21" i="7" s="1"/>
  <c r="G20" i="7"/>
  <c r="G19" i="7"/>
  <c r="T19" i="7"/>
  <c r="G18" i="7"/>
  <c r="G17" i="7"/>
  <c r="G16" i="7"/>
  <c r="T16" i="7"/>
  <c r="G15" i="7"/>
  <c r="G13" i="7"/>
  <c r="G12" i="7"/>
  <c r="T12" i="7" s="1"/>
  <c r="G11" i="7"/>
  <c r="G10" i="7"/>
  <c r="T10" i="7" s="1"/>
  <c r="G8" i="7"/>
  <c r="T8" i="7" s="1"/>
  <c r="O6" i="7"/>
  <c r="I6" i="7"/>
  <c r="G6" i="7"/>
  <c r="T6" i="7" s="1"/>
  <c r="AB503" i="16"/>
  <c r="AF129" i="16"/>
  <c r="T440" i="7"/>
  <c r="T118" i="7"/>
  <c r="T134" i="7"/>
  <c r="T313" i="7"/>
  <c r="T90" i="7"/>
  <c r="T437" i="7"/>
  <c r="T120" i="7"/>
  <c r="T209" i="7"/>
  <c r="T299" i="7"/>
  <c r="T484" i="7"/>
  <c r="T543" i="7"/>
  <c r="S612" i="7"/>
  <c r="S614" i="7"/>
  <c r="T77" i="7"/>
  <c r="T146" i="7"/>
  <c r="O609" i="7"/>
  <c r="S610" i="7"/>
  <c r="AD256" i="16"/>
  <c r="AF503" i="16"/>
  <c r="U387" i="16"/>
  <c r="S609" i="7"/>
  <c r="S611" i="7"/>
  <c r="S608" i="7"/>
  <c r="S607" i="7" s="1"/>
  <c r="S613" i="7" s="1"/>
  <c r="S615" i="7" s="1"/>
  <c r="W608" i="7"/>
  <c r="V608" i="7"/>
  <c r="U608" i="7"/>
  <c r="E494" i="7"/>
  <c r="E478" i="7"/>
  <c r="AD285" i="16"/>
  <c r="AB380" i="16"/>
  <c r="E365" i="7"/>
  <c r="E361" i="7"/>
  <c r="G321" i="7"/>
  <c r="T321" i="7"/>
  <c r="E293" i="7"/>
  <c r="E289" i="7"/>
  <c r="D248" i="7"/>
  <c r="U242" i="7"/>
  <c r="I214" i="7"/>
  <c r="G214" i="7"/>
  <c r="E163" i="7"/>
  <c r="D136" i="7"/>
  <c r="D608" i="7" s="1"/>
  <c r="D607" i="7" s="1"/>
  <c r="D613" i="7" s="1"/>
  <c r="D615" i="7" s="1"/>
  <c r="G136" i="7"/>
  <c r="E130" i="7"/>
  <c r="E104" i="7"/>
  <c r="E68" i="7"/>
  <c r="E56" i="7"/>
  <c r="E63" i="7"/>
  <c r="G35" i="7"/>
  <c r="I420" i="3"/>
  <c r="G488" i="3"/>
  <c r="H488" i="3"/>
  <c r="G487" i="3"/>
  <c r="H487" i="3" s="1"/>
  <c r="G483" i="3"/>
  <c r="H483" i="3" s="1"/>
  <c r="G482" i="3"/>
  <c r="H482" i="3" s="1"/>
  <c r="G481" i="3"/>
  <c r="H481" i="3"/>
  <c r="G480" i="3"/>
  <c r="H480" i="3" s="1"/>
  <c r="G479" i="3"/>
  <c r="H479" i="3" s="1"/>
  <c r="G478" i="3"/>
  <c r="H478" i="3" s="1"/>
  <c r="G477" i="3"/>
  <c r="H477" i="3"/>
  <c r="G476" i="3"/>
  <c r="H476" i="3" s="1"/>
  <c r="G475" i="3"/>
  <c r="H475" i="3" s="1"/>
  <c r="G474" i="3"/>
  <c r="H474" i="3" s="1"/>
  <c r="G472" i="3"/>
  <c r="H472" i="3"/>
  <c r="G471" i="3"/>
  <c r="H471" i="3" s="1"/>
  <c r="G470" i="3"/>
  <c r="H470" i="3" s="1"/>
  <c r="G466" i="3"/>
  <c r="H466" i="3"/>
  <c r="G465" i="3"/>
  <c r="H465" i="3" s="1"/>
  <c r="G464" i="3"/>
  <c r="H464" i="3"/>
  <c r="G463" i="3"/>
  <c r="H463" i="3" s="1"/>
  <c r="G461" i="3"/>
  <c r="H461" i="3"/>
  <c r="G460" i="3"/>
  <c r="H460" i="3" s="1"/>
  <c r="G459" i="3"/>
  <c r="H459" i="3"/>
  <c r="H467" i="3" s="1"/>
  <c r="G455" i="3"/>
  <c r="H455" i="3" s="1"/>
  <c r="G454" i="3"/>
  <c r="H454" i="3"/>
  <c r="G453" i="3"/>
  <c r="H453" i="3" s="1"/>
  <c r="G451" i="3"/>
  <c r="H451" i="3" s="1"/>
  <c r="G450" i="3"/>
  <c r="H450" i="3" s="1"/>
  <c r="G449" i="3"/>
  <c r="H449" i="3"/>
  <c r="G448" i="3"/>
  <c r="H448" i="3" s="1"/>
  <c r="G447" i="3"/>
  <c r="H447" i="3" s="1"/>
  <c r="G446" i="3"/>
  <c r="H446" i="3" s="1"/>
  <c r="G439" i="3"/>
  <c r="H439" i="3" s="1"/>
  <c r="G438" i="3"/>
  <c r="H438" i="3"/>
  <c r="G437" i="3"/>
  <c r="H437" i="3" s="1"/>
  <c r="G436" i="3"/>
  <c r="H436" i="3"/>
  <c r="G435" i="3"/>
  <c r="H435" i="3" s="1"/>
  <c r="G434" i="3"/>
  <c r="H434" i="3"/>
  <c r="G432" i="3"/>
  <c r="H432" i="3" s="1"/>
  <c r="G431" i="3"/>
  <c r="H431" i="3"/>
  <c r="G430" i="3"/>
  <c r="H430" i="3" s="1"/>
  <c r="G429" i="3"/>
  <c r="H429" i="3"/>
  <c r="G428" i="3"/>
  <c r="H428" i="3" s="1"/>
  <c r="G427" i="3"/>
  <c r="H427" i="3"/>
  <c r="G426" i="3"/>
  <c r="H426" i="3" s="1"/>
  <c r="G425" i="3"/>
  <c r="H425" i="3"/>
  <c r="H440" i="3" s="1"/>
  <c r="G419" i="3"/>
  <c r="J419" i="3" s="1"/>
  <c r="J205" i="3" s="1"/>
  <c r="F417" i="3"/>
  <c r="G417" i="3" s="1"/>
  <c r="J417" i="3" s="1"/>
  <c r="J203" i="3" s="1"/>
  <c r="G413" i="3"/>
  <c r="J413" i="3" s="1"/>
  <c r="J195" i="3" s="1"/>
  <c r="G411" i="3"/>
  <c r="J411" i="3"/>
  <c r="G410" i="3"/>
  <c r="J410" i="3" s="1"/>
  <c r="G409" i="3"/>
  <c r="J409" i="3"/>
  <c r="G408" i="3"/>
  <c r="J408" i="3" s="1"/>
  <c r="G407" i="3"/>
  <c r="J407" i="3"/>
  <c r="G406" i="3"/>
  <c r="J406" i="3" s="1"/>
  <c r="J192" i="3" s="1"/>
  <c r="G404" i="3"/>
  <c r="J404" i="3"/>
  <c r="J190" i="3" s="1"/>
  <c r="F402" i="3"/>
  <c r="G402" i="3" s="1"/>
  <c r="J402" i="3" s="1"/>
  <c r="J188" i="3" s="1"/>
  <c r="F401" i="3"/>
  <c r="G401" i="3" s="1"/>
  <c r="J401" i="3"/>
  <c r="J186" i="3" s="1"/>
  <c r="F400" i="3"/>
  <c r="G400" i="3" s="1"/>
  <c r="J400" i="3" s="1"/>
  <c r="J187" i="3" s="1"/>
  <c r="F399" i="3"/>
  <c r="G399" i="3" s="1"/>
  <c r="J399" i="3"/>
  <c r="J185" i="3" s="1"/>
  <c r="G398" i="3"/>
  <c r="J398" i="3" s="1"/>
  <c r="J184" i="3" s="1"/>
  <c r="G394" i="3"/>
  <c r="J394" i="3" s="1"/>
  <c r="G393" i="3"/>
  <c r="J393" i="3"/>
  <c r="G392" i="3"/>
  <c r="J392" i="3" s="1"/>
  <c r="G391" i="3"/>
  <c r="J391" i="3"/>
  <c r="G390" i="3"/>
  <c r="J390" i="3" s="1"/>
  <c r="G389" i="3"/>
  <c r="J389" i="3"/>
  <c r="G388" i="3"/>
  <c r="J388" i="3" s="1"/>
  <c r="G387" i="3"/>
  <c r="J387" i="3"/>
  <c r="G386" i="3"/>
  <c r="J386" i="3" s="1"/>
  <c r="G385" i="3"/>
  <c r="J385" i="3"/>
  <c r="G384" i="3"/>
  <c r="J384" i="3" s="1"/>
  <c r="G383" i="3"/>
  <c r="J383" i="3"/>
  <c r="G382" i="3"/>
  <c r="J382" i="3" s="1"/>
  <c r="G381" i="3"/>
  <c r="J381" i="3"/>
  <c r="J157" i="3" s="1"/>
  <c r="G379" i="3"/>
  <c r="J379" i="3" s="1"/>
  <c r="J138" i="3" s="1"/>
  <c r="F377" i="3"/>
  <c r="G377" i="3" s="1"/>
  <c r="J377" i="3" s="1"/>
  <c r="J153" i="3" s="1"/>
  <c r="F376" i="3"/>
  <c r="G376" i="3"/>
  <c r="J376" i="3" s="1"/>
  <c r="J135" i="3" s="1"/>
  <c r="F375" i="3"/>
  <c r="G375" i="3"/>
  <c r="J375" i="3" s="1"/>
  <c r="G374" i="3"/>
  <c r="J374" i="3" s="1"/>
  <c r="J167" i="3" s="1"/>
  <c r="G370" i="3"/>
  <c r="J370" i="3" s="1"/>
  <c r="G369" i="3"/>
  <c r="J369" i="3"/>
  <c r="G368" i="3"/>
  <c r="J368" i="3" s="1"/>
  <c r="G367" i="3"/>
  <c r="J367" i="3"/>
  <c r="G366" i="3"/>
  <c r="J366" i="3" s="1"/>
  <c r="G365" i="3"/>
  <c r="J365" i="3"/>
  <c r="G364" i="3"/>
  <c r="J364" i="3" s="1"/>
  <c r="G363" i="3"/>
  <c r="J363" i="3"/>
  <c r="G362" i="3"/>
  <c r="J362" i="3" s="1"/>
  <c r="G361" i="3"/>
  <c r="J361" i="3"/>
  <c r="G360" i="3"/>
  <c r="J360" i="3" s="1"/>
  <c r="G359" i="3"/>
  <c r="J359" i="3"/>
  <c r="G358" i="3"/>
  <c r="J358" i="3" s="1"/>
  <c r="J123" i="3" s="1"/>
  <c r="F356" i="3"/>
  <c r="G356" i="3"/>
  <c r="J356" i="3" s="1"/>
  <c r="J121" i="3" s="1"/>
  <c r="F355" i="3"/>
  <c r="G355" i="3"/>
  <c r="J355" i="3"/>
  <c r="J119" i="3" s="1"/>
  <c r="F354" i="3"/>
  <c r="G354" i="3"/>
  <c r="J354" i="3" s="1"/>
  <c r="J120" i="3" s="1"/>
  <c r="F353" i="3"/>
  <c r="G353" i="3"/>
  <c r="J353" i="3"/>
  <c r="J118" i="3" s="1"/>
  <c r="G352" i="3"/>
  <c r="J352" i="3"/>
  <c r="J117" i="3" s="1"/>
  <c r="G348" i="3"/>
  <c r="J348" i="3" s="1"/>
  <c r="J109" i="3" s="1"/>
  <c r="G346" i="3"/>
  <c r="J346" i="3" s="1"/>
  <c r="G345" i="3"/>
  <c r="J345" i="3"/>
  <c r="G344" i="3"/>
  <c r="J344" i="3" s="1"/>
  <c r="G343" i="3"/>
  <c r="J343" i="3"/>
  <c r="G342" i="3"/>
  <c r="J342" i="3" s="1"/>
  <c r="G341" i="3"/>
  <c r="J341" i="3"/>
  <c r="G340" i="3"/>
  <c r="J340" i="3" s="1"/>
  <c r="F338" i="3"/>
  <c r="G338" i="3"/>
  <c r="J338" i="3"/>
  <c r="J104" i="3" s="1"/>
  <c r="F337" i="3"/>
  <c r="G337" i="3"/>
  <c r="J337" i="3" s="1"/>
  <c r="J102" i="3" s="1"/>
  <c r="F336" i="3"/>
  <c r="G336" i="3"/>
  <c r="J336" i="3" s="1"/>
  <c r="J103" i="3" s="1"/>
  <c r="F335" i="3"/>
  <c r="G335" i="3"/>
  <c r="J335" i="3" s="1"/>
  <c r="J101" i="3" s="1"/>
  <c r="G334" i="3"/>
  <c r="J334" i="3"/>
  <c r="J100" i="3" s="1"/>
  <c r="G330" i="3"/>
  <c r="J330" i="3" s="1"/>
  <c r="G329" i="3"/>
  <c r="J329" i="3"/>
  <c r="J92" i="3" s="1"/>
  <c r="G327" i="3"/>
  <c r="J327" i="3" s="1"/>
  <c r="G326" i="3"/>
  <c r="J326" i="3" s="1"/>
  <c r="G325" i="3"/>
  <c r="J325" i="3" s="1"/>
  <c r="G324" i="3"/>
  <c r="J324" i="3"/>
  <c r="G323" i="3"/>
  <c r="J323" i="3" s="1"/>
  <c r="G322" i="3"/>
  <c r="J322" i="3" s="1"/>
  <c r="G321" i="3"/>
  <c r="J321" i="3" s="1"/>
  <c r="G320" i="3"/>
  <c r="J320" i="3"/>
  <c r="G319" i="3"/>
  <c r="J319" i="3" s="1"/>
  <c r="G318" i="3"/>
  <c r="J318" i="3" s="1"/>
  <c r="G317" i="3"/>
  <c r="J317" i="3" s="1"/>
  <c r="G316" i="3"/>
  <c r="J316" i="3"/>
  <c r="J89" i="3" s="1"/>
  <c r="G315" i="3"/>
  <c r="J315" i="3" s="1"/>
  <c r="G313" i="3"/>
  <c r="J313" i="3"/>
  <c r="J87" i="3" s="1"/>
  <c r="F311" i="3"/>
  <c r="G311" i="3"/>
  <c r="J311" i="3" s="1"/>
  <c r="J85" i="3" s="1"/>
  <c r="F310" i="3"/>
  <c r="G310" i="3" s="1"/>
  <c r="J310" i="3" s="1"/>
  <c r="J83" i="3" s="1"/>
  <c r="I10" i="3" s="1"/>
  <c r="F309" i="3"/>
  <c r="G309" i="3"/>
  <c r="J309" i="3" s="1"/>
  <c r="J84" i="3" s="1"/>
  <c r="F308" i="3"/>
  <c r="G308" i="3" s="1"/>
  <c r="J308" i="3" s="1"/>
  <c r="J82" i="3" s="1"/>
  <c r="G307" i="3"/>
  <c r="J307" i="3"/>
  <c r="J81" i="3" s="1"/>
  <c r="G303" i="3"/>
  <c r="J303" i="3"/>
  <c r="G302" i="3"/>
  <c r="J302" i="3" s="1"/>
  <c r="G301" i="3"/>
  <c r="J301" i="3" s="1"/>
  <c r="G300" i="3"/>
  <c r="J300" i="3" s="1"/>
  <c r="G299" i="3"/>
  <c r="J299" i="3"/>
  <c r="G298" i="3"/>
  <c r="J298" i="3" s="1"/>
  <c r="G297" i="3"/>
  <c r="J297" i="3" s="1"/>
  <c r="J71" i="3" s="1"/>
  <c r="G295" i="3"/>
  <c r="J295" i="3" s="1"/>
  <c r="J69" i="3" s="1"/>
  <c r="G294" i="3"/>
  <c r="J294" i="3" s="1"/>
  <c r="J68" i="3" s="1"/>
  <c r="F292" i="3"/>
  <c r="G292" i="3" s="1"/>
  <c r="J292" i="3" s="1"/>
  <c r="J66" i="3" s="1"/>
  <c r="F291" i="3"/>
  <c r="F290" i="3"/>
  <c r="G290" i="3" s="1"/>
  <c r="J290" i="3" s="1"/>
  <c r="J65" i="3" s="1"/>
  <c r="I13" i="3" s="1"/>
  <c r="F289" i="3"/>
  <c r="G289" i="3" s="1"/>
  <c r="J289" i="3" s="1"/>
  <c r="F288" i="3"/>
  <c r="G288" i="3" s="1"/>
  <c r="J288" i="3" s="1"/>
  <c r="F287" i="3"/>
  <c r="G287" i="3"/>
  <c r="J287" i="3" s="1"/>
  <c r="J62" i="3" s="1"/>
  <c r="F286" i="3"/>
  <c r="G286" i="3" s="1"/>
  <c r="J286" i="3" s="1"/>
  <c r="J61" i="3" s="1"/>
  <c r="G285" i="3"/>
  <c r="J285" i="3"/>
  <c r="J60" i="3" s="1"/>
  <c r="J280" i="3"/>
  <c r="J277" i="3"/>
  <c r="J274" i="3"/>
  <c r="J271" i="3"/>
  <c r="J268" i="3"/>
  <c r="G266" i="3"/>
  <c r="J266" i="3" s="1"/>
  <c r="G265" i="3"/>
  <c r="J265" i="3"/>
  <c r="G264" i="3"/>
  <c r="J264" i="3" s="1"/>
  <c r="G263" i="3"/>
  <c r="J263" i="3"/>
  <c r="G262" i="3"/>
  <c r="J262" i="3" s="1"/>
  <c r="G261" i="3"/>
  <c r="J261" i="3"/>
  <c r="G260" i="3"/>
  <c r="J260" i="3" s="1"/>
  <c r="G259" i="3"/>
  <c r="J259" i="3"/>
  <c r="G258" i="3"/>
  <c r="J258" i="3" s="1"/>
  <c r="J53" i="3" s="1"/>
  <c r="I25" i="3" s="1"/>
  <c r="G257" i="3"/>
  <c r="J257" i="3"/>
  <c r="G255" i="3"/>
  <c r="J255" i="3" s="1"/>
  <c r="G254" i="3"/>
  <c r="J254" i="3" s="1"/>
  <c r="G253" i="3"/>
  <c r="J253" i="3" s="1"/>
  <c r="G252" i="3"/>
  <c r="J252" i="3"/>
  <c r="G251" i="3"/>
  <c r="J251" i="3" s="1"/>
  <c r="G250" i="3"/>
  <c r="J250" i="3" s="1"/>
  <c r="G249" i="3"/>
  <c r="J249" i="3" s="1"/>
  <c r="G248" i="3"/>
  <c r="J248" i="3"/>
  <c r="G247" i="3"/>
  <c r="J247" i="3" s="1"/>
  <c r="G246" i="3"/>
  <c r="J246" i="3" s="1"/>
  <c r="G245" i="3"/>
  <c r="J245" i="3" s="1"/>
  <c r="G244" i="3"/>
  <c r="J244" i="3"/>
  <c r="G243" i="3"/>
  <c r="J243" i="3" s="1"/>
  <c r="G242" i="3"/>
  <c r="J242" i="3" s="1"/>
  <c r="G241" i="3"/>
  <c r="J241" i="3" s="1"/>
  <c r="G240" i="3"/>
  <c r="J240" i="3"/>
  <c r="G239" i="3"/>
  <c r="J239" i="3" s="1"/>
  <c r="G238" i="3"/>
  <c r="J238" i="3" s="1"/>
  <c r="G237" i="3"/>
  <c r="J237" i="3" s="1"/>
  <c r="G236" i="3"/>
  <c r="J236" i="3"/>
  <c r="G235" i="3"/>
  <c r="J235" i="3" s="1"/>
  <c r="G234" i="3"/>
  <c r="J234" i="3" s="1"/>
  <c r="G233" i="3"/>
  <c r="J233" i="3" s="1"/>
  <c r="G232" i="3"/>
  <c r="J232" i="3"/>
  <c r="G231" i="3"/>
  <c r="J231" i="3" s="1"/>
  <c r="G230" i="3"/>
  <c r="J230" i="3" s="1"/>
  <c r="G229" i="3"/>
  <c r="J229" i="3" s="1"/>
  <c r="G228" i="3"/>
  <c r="J228" i="3"/>
  <c r="F226" i="3"/>
  <c r="F225" i="3"/>
  <c r="G224" i="3"/>
  <c r="J224" i="3"/>
  <c r="J46" i="3" s="1"/>
  <c r="F222" i="3"/>
  <c r="G222" i="3"/>
  <c r="J222" i="3"/>
  <c r="J44" i="3" s="1"/>
  <c r="F221" i="3"/>
  <c r="G221" i="3"/>
  <c r="J221" i="3" s="1"/>
  <c r="F220" i="3"/>
  <c r="G220" i="3" s="1"/>
  <c r="J220" i="3" s="1"/>
  <c r="F219" i="3"/>
  <c r="G219" i="3" s="1"/>
  <c r="J219" i="3" s="1"/>
  <c r="J42" i="3" s="1"/>
  <c r="F218" i="3"/>
  <c r="G218" i="3"/>
  <c r="J218" i="3" s="1"/>
  <c r="J41" i="3" s="1"/>
  <c r="F217" i="3"/>
  <c r="G217" i="3"/>
  <c r="J217" i="3" s="1"/>
  <c r="J40" i="3" s="1"/>
  <c r="G216" i="3"/>
  <c r="J216" i="3"/>
  <c r="J39" i="3" s="1"/>
  <c r="I203" i="3"/>
  <c r="J198" i="3"/>
  <c r="J196" i="3"/>
  <c r="J193" i="3"/>
  <c r="I190" i="3"/>
  <c r="I188" i="3"/>
  <c r="I187" i="3"/>
  <c r="I186" i="3"/>
  <c r="I185" i="3"/>
  <c r="I184" i="3"/>
  <c r="J179" i="3"/>
  <c r="J177" i="3"/>
  <c r="J175" i="3"/>
  <c r="I172" i="3"/>
  <c r="I170" i="3"/>
  <c r="I169" i="3"/>
  <c r="I168" i="3"/>
  <c r="I167" i="3"/>
  <c r="J162" i="3"/>
  <c r="J160" i="3"/>
  <c r="J158" i="3"/>
  <c r="I155" i="3"/>
  <c r="I153" i="3"/>
  <c r="I152" i="3"/>
  <c r="I151" i="3"/>
  <c r="I150" i="3"/>
  <c r="J145" i="3"/>
  <c r="J143" i="3"/>
  <c r="J141" i="3"/>
  <c r="I138" i="3"/>
  <c r="I136" i="3"/>
  <c r="I135" i="3"/>
  <c r="I134" i="3"/>
  <c r="I133" i="3"/>
  <c r="J128" i="3"/>
  <c r="J126" i="3"/>
  <c r="J124" i="3"/>
  <c r="I121" i="3"/>
  <c r="I120" i="3"/>
  <c r="I119" i="3"/>
  <c r="I118" i="3"/>
  <c r="I117" i="3"/>
  <c r="J112" i="3"/>
  <c r="J110" i="3"/>
  <c r="J107" i="3"/>
  <c r="I104" i="3"/>
  <c r="I103" i="3"/>
  <c r="I102" i="3"/>
  <c r="I101" i="3"/>
  <c r="I100" i="3"/>
  <c r="J95" i="3"/>
  <c r="J93" i="3"/>
  <c r="J90" i="3"/>
  <c r="I87" i="3"/>
  <c r="H17" i="3" s="1"/>
  <c r="I85" i="3"/>
  <c r="I43" i="3"/>
  <c r="I66" i="3"/>
  <c r="H14" i="3"/>
  <c r="I84" i="3"/>
  <c r="I83" i="3"/>
  <c r="I82" i="3"/>
  <c r="I81" i="3"/>
  <c r="H8" i="3" s="1"/>
  <c r="I40" i="3"/>
  <c r="I61" i="3"/>
  <c r="J76" i="3"/>
  <c r="I29" i="3" s="1"/>
  <c r="J74" i="3"/>
  <c r="J72" i="3"/>
  <c r="I69" i="3"/>
  <c r="H20" i="3"/>
  <c r="I68" i="3"/>
  <c r="I46" i="3"/>
  <c r="I65" i="3"/>
  <c r="H13" i="3" s="1"/>
  <c r="I64" i="3"/>
  <c r="H12" i="3"/>
  <c r="I63" i="3"/>
  <c r="I62" i="3"/>
  <c r="I60" i="3"/>
  <c r="J55" i="3"/>
  <c r="J51" i="3"/>
  <c r="I23" i="3" s="1"/>
  <c r="I48" i="3"/>
  <c r="H19" i="3" s="1"/>
  <c r="I47" i="3"/>
  <c r="H18" i="3" s="1"/>
  <c r="I44" i="3"/>
  <c r="H15" i="3" s="1"/>
  <c r="I42" i="3"/>
  <c r="I41" i="3"/>
  <c r="H9" i="3" s="1"/>
  <c r="I39" i="3"/>
  <c r="H7" i="3"/>
  <c r="H27" i="3"/>
  <c r="H23" i="3"/>
  <c r="G291" i="3"/>
  <c r="J291" i="3" s="1"/>
  <c r="J64" i="3" s="1"/>
  <c r="I12" i="3" s="1"/>
  <c r="G225" i="3"/>
  <c r="J225" i="3" s="1"/>
  <c r="J47" i="3"/>
  <c r="J43" i="3"/>
  <c r="G226" i="3"/>
  <c r="J226" i="3" s="1"/>
  <c r="J48" i="3" s="1"/>
  <c r="J150" i="3"/>
  <c r="J169" i="3"/>
  <c r="D610" i="7"/>
  <c r="D609" i="7"/>
  <c r="S600" i="7"/>
  <c r="T600" i="7"/>
  <c r="D611" i="7"/>
  <c r="D612" i="7"/>
  <c r="D614" i="7"/>
  <c r="S601" i="7"/>
  <c r="U46" i="16"/>
  <c r="U42" i="16"/>
  <c r="U347" i="16"/>
  <c r="U350" i="16"/>
  <c r="J398" i="16"/>
  <c r="J455" i="16"/>
  <c r="U410" i="16"/>
  <c r="U421" i="16"/>
  <c r="U457" i="16"/>
  <c r="U465" i="16"/>
  <c r="U473" i="16"/>
  <c r="U513" i="16"/>
  <c r="AG548" i="16"/>
  <c r="AH548" i="16"/>
  <c r="P548" i="16"/>
  <c r="U556" i="16"/>
  <c r="U554" i="16" s="1"/>
  <c r="AG615" i="16"/>
  <c r="AH615" i="16"/>
  <c r="Y256" i="16"/>
  <c r="AF256" i="16"/>
  <c r="AF285" i="16"/>
  <c r="AF322" i="16"/>
  <c r="Y380" i="16"/>
  <c r="Y398" i="16"/>
  <c r="AB426" i="16"/>
  <c r="AD426" i="16"/>
  <c r="Y555" i="16"/>
  <c r="Y554" i="16" s="1"/>
  <c r="U474" i="16"/>
  <c r="U482" i="16"/>
  <c r="J632" i="16"/>
  <c r="U648" i="16"/>
  <c r="AG598" i="16"/>
  <c r="AH598" i="16"/>
  <c r="P541" i="16"/>
  <c r="AG541" i="16"/>
  <c r="AH541" i="16"/>
  <c r="U552" i="16"/>
  <c r="U598" i="16"/>
  <c r="AG622" i="16"/>
  <c r="AH622" i="16"/>
  <c r="P622" i="16"/>
  <c r="U625" i="16"/>
  <c r="AD80" i="16"/>
  <c r="U402" i="16"/>
  <c r="U405" i="16"/>
  <c r="U449" i="16"/>
  <c r="U500" i="16"/>
  <c r="U509" i="16"/>
  <c r="U511" i="16"/>
  <c r="U518" i="16"/>
  <c r="U641" i="16"/>
  <c r="U559" i="16"/>
  <c r="U566" i="16"/>
  <c r="P585" i="16"/>
  <c r="AG585" i="16"/>
  <c r="AH585" i="16"/>
  <c r="U590" i="16"/>
  <c r="P591" i="16"/>
  <c r="AG591" i="16"/>
  <c r="AH591" i="16"/>
  <c r="J607" i="16"/>
  <c r="U611" i="16"/>
  <c r="AG611" i="16"/>
  <c r="AH611" i="16"/>
  <c r="U646" i="16"/>
  <c r="Y39" i="16"/>
  <c r="L644" i="16"/>
  <c r="U460" i="16"/>
  <c r="U468" i="16"/>
  <c r="U483" i="16"/>
  <c r="U499" i="16"/>
  <c r="L632" i="16"/>
  <c r="AG552" i="16"/>
  <c r="AH552" i="16"/>
  <c r="U544" i="16"/>
  <c r="P545" i="16"/>
  <c r="AG545" i="16"/>
  <c r="AH545" i="16" s="1"/>
  <c r="P550" i="16"/>
  <c r="AG550" i="16"/>
  <c r="AH550" i="16"/>
  <c r="U574" i="16"/>
  <c r="U617" i="16"/>
  <c r="AG617" i="16"/>
  <c r="AH617" i="16" s="1"/>
  <c r="Y12" i="16"/>
  <c r="AG572" i="16"/>
  <c r="AH572" i="16" s="1"/>
  <c r="AG531" i="16"/>
  <c r="AH531" i="16"/>
  <c r="AG538" i="16"/>
  <c r="AH538" i="16" s="1"/>
  <c r="AG574" i="16"/>
  <c r="AH574" i="16"/>
  <c r="G536" i="20"/>
  <c r="I405" i="20"/>
  <c r="I118" i="20"/>
  <c r="I154" i="20"/>
  <c r="I191" i="20"/>
  <c r="I266" i="20"/>
  <c r="A6" i="24"/>
  <c r="F54" i="9"/>
  <c r="C64" i="9"/>
  <c r="F41" i="30"/>
  <c r="J41" i="30" s="1"/>
  <c r="L41" i="30"/>
  <c r="J38" i="30"/>
  <c r="L38" i="30"/>
  <c r="I203" i="20"/>
  <c r="I249" i="20"/>
  <c r="I370" i="20"/>
  <c r="J36" i="30"/>
  <c r="L36" i="30" s="1"/>
  <c r="L42" i="30" s="1"/>
  <c r="A7" i="24"/>
  <c r="A8" i="24"/>
  <c r="U453" i="16"/>
  <c r="U466" i="16"/>
  <c r="U640" i="16"/>
  <c r="U550" i="16"/>
  <c r="U413" i="16"/>
  <c r="P543" i="16"/>
  <c r="U633" i="16"/>
  <c r="U632" i="16" s="1"/>
  <c r="U445" i="16"/>
  <c r="U622" i="16"/>
  <c r="P611" i="16"/>
  <c r="U548" i="16"/>
  <c r="U456" i="16"/>
  <c r="Y427" i="16"/>
  <c r="Y426" i="16" s="1"/>
  <c r="U442" i="16"/>
  <c r="U417" i="16"/>
  <c r="U148" i="16"/>
  <c r="U399" i="16"/>
  <c r="U346" i="16"/>
  <c r="U644" i="16"/>
  <c r="A9" i="24"/>
  <c r="A10" i="24" s="1"/>
  <c r="Y189" i="16"/>
  <c r="Y188" i="16"/>
  <c r="U53" i="16"/>
  <c r="U520" i="16"/>
  <c r="J256" i="16"/>
  <c r="J380" i="16"/>
  <c r="U345" i="16"/>
  <c r="U343" i="16" s="1"/>
  <c r="W351" i="16"/>
  <c r="W343" i="16"/>
  <c r="U485" i="16"/>
  <c r="U450" i="16"/>
  <c r="U477" i="16"/>
  <c r="AG576" i="16"/>
  <c r="AH576" i="16" s="1"/>
  <c r="L640" i="16"/>
  <c r="AF224" i="16"/>
  <c r="Y343" i="16"/>
  <c r="Y113" i="16"/>
  <c r="Y80" i="16"/>
  <c r="W307" i="16"/>
  <c r="W295" i="16"/>
  <c r="W303" i="16"/>
  <c r="U327" i="16"/>
  <c r="U328" i="16"/>
  <c r="U349" i="16"/>
  <c r="U369" i="16"/>
  <c r="U390" i="16"/>
  <c r="U433" i="16"/>
  <c r="AG537" i="16"/>
  <c r="AH537" i="16" s="1"/>
  <c r="AG528" i="16"/>
  <c r="AH528" i="16" s="1"/>
  <c r="U569" i="16"/>
  <c r="AG602" i="16"/>
  <c r="AH602" i="16"/>
  <c r="U89" i="16"/>
  <c r="U124" i="16"/>
  <c r="W340" i="16"/>
  <c r="W338" i="16"/>
  <c r="U470" i="16"/>
  <c r="U429" i="16"/>
  <c r="U443" i="16"/>
  <c r="U467" i="16"/>
  <c r="U497" i="16"/>
  <c r="AG571" i="16"/>
  <c r="AH571" i="16"/>
  <c r="U47" i="16"/>
  <c r="U378" i="16"/>
  <c r="W289" i="16"/>
  <c r="U291" i="16"/>
  <c r="W299" i="16"/>
  <c r="U331" i="16"/>
  <c r="U332" i="16"/>
  <c r="U366" i="16"/>
  <c r="J376" i="16"/>
  <c r="J479" i="16"/>
  <c r="U488" i="16"/>
  <c r="U492" i="16"/>
  <c r="U579" i="16"/>
  <c r="AG599" i="16"/>
  <c r="AH599" i="16" s="1"/>
  <c r="P616" i="16"/>
  <c r="AG616" i="16"/>
  <c r="AH616" i="16"/>
  <c r="U419" i="16"/>
  <c r="U431" i="16"/>
  <c r="U475" i="16"/>
  <c r="U528" i="16"/>
  <c r="U563" i="16"/>
  <c r="U581" i="16"/>
  <c r="U621" i="16"/>
  <c r="AG624" i="16"/>
  <c r="AH624" i="16"/>
  <c r="U418" i="16"/>
  <c r="U451" i="16"/>
  <c r="U463" i="16"/>
  <c r="U508" i="16"/>
  <c r="AG558" i="16"/>
  <c r="AH558" i="16" s="1"/>
  <c r="U562" i="16"/>
  <c r="U575" i="16"/>
  <c r="AG575" i="16"/>
  <c r="AH575" i="16" s="1"/>
  <c r="AG603" i="16"/>
  <c r="AH603" i="16" s="1"/>
  <c r="U626" i="16"/>
  <c r="U628" i="16"/>
  <c r="AF39" i="16"/>
  <c r="U498" i="16"/>
  <c r="J583" i="16"/>
  <c r="U538" i="16"/>
  <c r="U540" i="16"/>
  <c r="U596" i="16"/>
  <c r="U602" i="16"/>
  <c r="AG610" i="16"/>
  <c r="AH610" i="16"/>
  <c r="U627" i="16"/>
  <c r="AG570" i="16"/>
  <c r="AH570" i="16" s="1"/>
  <c r="AD188" i="16"/>
  <c r="Y285" i="16"/>
  <c r="Y322" i="16"/>
  <c r="W380" i="16"/>
  <c r="AD398" i="16"/>
  <c r="W360" i="16"/>
  <c r="I343" i="20"/>
  <c r="I93" i="20"/>
  <c r="I230" i="20"/>
  <c r="I291" i="20"/>
  <c r="I339" i="20"/>
  <c r="I379" i="20"/>
  <c r="I446" i="20"/>
  <c r="I509" i="20"/>
  <c r="I138" i="20"/>
  <c r="I209" i="20"/>
  <c r="I437" i="20"/>
  <c r="I501" i="20"/>
  <c r="I492" i="20" s="1"/>
  <c r="I240" i="20"/>
  <c r="J37" i="30"/>
  <c r="L37" i="30"/>
  <c r="U344" i="16"/>
  <c r="U505" i="16"/>
  <c r="U610" i="16"/>
  <c r="P536" i="16"/>
  <c r="U536" i="16"/>
  <c r="U265" i="16"/>
  <c r="U616" i="16"/>
  <c r="U81" i="16"/>
  <c r="P571" i="16"/>
  <c r="U571" i="16"/>
  <c r="U365" i="16"/>
  <c r="P576" i="16"/>
  <c r="U576" i="16"/>
  <c r="U335" i="16"/>
  <c r="U354" i="16"/>
  <c r="U353" i="16" s="1"/>
  <c r="P558" i="16"/>
  <c r="U516" i="16"/>
  <c r="U406" i="16"/>
  <c r="L343" i="16"/>
  <c r="U487" i="16"/>
  <c r="U519" i="16"/>
  <c r="U323" i="16"/>
  <c r="U322" i="16" s="1"/>
  <c r="U408" i="16"/>
  <c r="J285" i="16"/>
  <c r="P528" i="16"/>
  <c r="P526" i="16" s="1"/>
  <c r="U383" i="16"/>
  <c r="U480" i="16"/>
  <c r="U558" i="16"/>
  <c r="L398" i="16"/>
  <c r="J136" i="3"/>
  <c r="T341" i="7"/>
  <c r="K610" i="7"/>
  <c r="T356" i="7"/>
  <c r="U165" i="16"/>
  <c r="O608" i="7"/>
  <c r="T107" i="7"/>
  <c r="T333" i="7"/>
  <c r="T387" i="7"/>
  <c r="T453" i="7"/>
  <c r="T468" i="7"/>
  <c r="T495" i="7"/>
  <c r="T547" i="7"/>
  <c r="T305" i="7"/>
  <c r="T383" i="7"/>
  <c r="T467" i="7"/>
  <c r="W262" i="16"/>
  <c r="J106" i="3"/>
  <c r="J152" i="3"/>
  <c r="T35" i="7"/>
  <c r="T39" i="7"/>
  <c r="T71" i="7"/>
  <c r="T105" i="7"/>
  <c r="T183" i="7"/>
  <c r="T202" i="7"/>
  <c r="T227" i="7"/>
  <c r="T269" i="7"/>
  <c r="T294" i="7"/>
  <c r="T311" i="7"/>
  <c r="T317" i="7"/>
  <c r="T336" i="7"/>
  <c r="T347" i="7"/>
  <c r="T354" i="7"/>
  <c r="T367" i="7"/>
  <c r="G612" i="7"/>
  <c r="T393" i="7"/>
  <c r="T418" i="7"/>
  <c r="T422" i="7"/>
  <c r="T456" i="7"/>
  <c r="T508" i="7"/>
  <c r="T549" i="7"/>
  <c r="T585" i="7"/>
  <c r="I601" i="7"/>
  <c r="U50" i="16"/>
  <c r="W232" i="16"/>
  <c r="U123" i="16"/>
  <c r="M601" i="7"/>
  <c r="T373" i="7"/>
  <c r="I7" i="3"/>
  <c r="W339" i="16"/>
  <c r="U102" i="16"/>
  <c r="U161" i="16"/>
  <c r="J426" i="16"/>
  <c r="L322" i="16"/>
  <c r="L380" i="16"/>
  <c r="U615" i="16"/>
  <c r="P615" i="16"/>
  <c r="P607" i="16" s="1"/>
  <c r="J174" i="3"/>
  <c r="T27" i="7"/>
  <c r="T365" i="7"/>
  <c r="T430" i="7"/>
  <c r="T435" i="7"/>
  <c r="T449" i="7"/>
  <c r="T500" i="7"/>
  <c r="T528" i="7"/>
  <c r="T309" i="7"/>
  <c r="T423" i="7"/>
  <c r="T471" i="7"/>
  <c r="J129" i="16"/>
  <c r="U458" i="16"/>
  <c r="W287" i="16"/>
  <c r="U404" i="16"/>
  <c r="C601" i="7"/>
  <c r="G608" i="7"/>
  <c r="U56" i="16"/>
  <c r="I27" i="3"/>
  <c r="T378" i="7"/>
  <c r="T47" i="7"/>
  <c r="T78" i="7"/>
  <c r="T96" i="7"/>
  <c r="T100" i="7"/>
  <c r="T154" i="7"/>
  <c r="T158" i="7"/>
  <c r="T197" i="7"/>
  <c r="T223" i="7"/>
  <c r="T226" i="7"/>
  <c r="T233" i="7"/>
  <c r="T257" i="7"/>
  <c r="T272" i="7"/>
  <c r="T276" i="7"/>
  <c r="T327" i="7"/>
  <c r="G609" i="7"/>
  <c r="T366" i="7"/>
  <c r="T384" i="7"/>
  <c r="T407" i="7"/>
  <c r="T436" i="7"/>
  <c r="T480" i="7"/>
  <c r="T511" i="7"/>
  <c r="T529" i="7"/>
  <c r="T13" i="7"/>
  <c r="T188" i="7"/>
  <c r="T221" i="7"/>
  <c r="T241" i="7"/>
  <c r="T253" i="7"/>
  <c r="W334" i="16"/>
  <c r="W322" i="16"/>
  <c r="U368" i="16"/>
  <c r="L360" i="16"/>
  <c r="U110" i="16"/>
  <c r="J80" i="16"/>
  <c r="J12" i="16"/>
  <c r="I5" i="16" s="1"/>
  <c r="F934" i="18" s="1"/>
  <c r="T214" i="7"/>
  <c r="T17" i="7"/>
  <c r="T58" i="7"/>
  <c r="T104" i="7"/>
  <c r="T135" i="7"/>
  <c r="T143" i="7"/>
  <c r="T150" i="7"/>
  <c r="T161" i="7"/>
  <c r="T180" i="7"/>
  <c r="T204" i="7"/>
  <c r="T216" i="7"/>
  <c r="T260" i="7"/>
  <c r="T279" i="7"/>
  <c r="T316" i="7"/>
  <c r="T396" i="7"/>
  <c r="T409" i="7"/>
  <c r="T412" i="7"/>
  <c r="T451" i="7"/>
  <c r="T462" i="7"/>
  <c r="T465" i="7"/>
  <c r="T505" i="7"/>
  <c r="T520" i="7"/>
  <c r="T555" i="7"/>
  <c r="T590" i="7"/>
  <c r="T599" i="7"/>
  <c r="K614" i="7"/>
  <c r="T574" i="7"/>
  <c r="U121" i="16"/>
  <c r="U24" i="16"/>
  <c r="U169" i="16"/>
  <c r="U171" i="16"/>
  <c r="U219" i="16"/>
  <c r="U267" i="16"/>
  <c r="U341" i="16"/>
  <c r="U100" i="16"/>
  <c r="W80" i="16"/>
  <c r="T208" i="7"/>
  <c r="T325" i="7"/>
  <c r="T455" i="7"/>
  <c r="U203" i="16"/>
  <c r="H11" i="3"/>
  <c r="H10" i="3"/>
  <c r="T20" i="7"/>
  <c r="T64" i="7"/>
  <c r="T113" i="7"/>
  <c r="T160" i="7"/>
  <c r="T171" i="7"/>
  <c r="T193" i="7"/>
  <c r="T242" i="7"/>
  <c r="T281" i="7"/>
  <c r="T306" i="7"/>
  <c r="T352" i="7"/>
  <c r="T388" i="7"/>
  <c r="T414" i="7"/>
  <c r="T444" i="7"/>
  <c r="T519" i="7"/>
  <c r="T569" i="7"/>
  <c r="T48" i="7"/>
  <c r="U276" i="16"/>
  <c r="U194" i="16"/>
  <c r="U32" i="16"/>
  <c r="U184" i="16"/>
  <c r="U106" i="16"/>
  <c r="U388" i="16"/>
  <c r="U34" i="16"/>
  <c r="U44" i="16"/>
  <c r="U115" i="16"/>
  <c r="U156" i="16"/>
  <c r="J188" i="16"/>
  <c r="U282" i="16"/>
  <c r="W290" i="16"/>
  <c r="J360" i="16"/>
  <c r="Y526" i="16"/>
  <c r="U55" i="16"/>
  <c r="U108" i="16"/>
  <c r="U137" i="16"/>
  <c r="U220" i="16"/>
  <c r="U152" i="16"/>
  <c r="U140" i="16"/>
  <c r="U211" i="16"/>
  <c r="Q4" i="16"/>
  <c r="U145" i="16"/>
  <c r="U367" i="16"/>
  <c r="U360" i="16" s="1"/>
  <c r="U371" i="16"/>
  <c r="U385" i="16"/>
  <c r="U469" i="16"/>
  <c r="U506" i="16"/>
  <c r="U507" i="16"/>
  <c r="U517" i="16"/>
  <c r="U521" i="16"/>
  <c r="AG549" i="16"/>
  <c r="AH549" i="16"/>
  <c r="AG565" i="16"/>
  <c r="AH565" i="16" s="1"/>
  <c r="AG605" i="16"/>
  <c r="AH605" i="16" s="1"/>
  <c r="U613" i="16"/>
  <c r="Y619" i="16"/>
  <c r="Y607" i="16"/>
  <c r="U620" i="16"/>
  <c r="AB398" i="16"/>
  <c r="U424" i="16"/>
  <c r="U198" i="16"/>
  <c r="U395" i="16"/>
  <c r="U403" i="16"/>
  <c r="U496" i="16"/>
  <c r="L636" i="16"/>
  <c r="AG534" i="16"/>
  <c r="AH534" i="16"/>
  <c r="AG539" i="16"/>
  <c r="AH539" i="16"/>
  <c r="U572" i="16"/>
  <c r="P594" i="16"/>
  <c r="P583" i="16" s="1"/>
  <c r="AG594" i="16"/>
  <c r="AH594" i="16"/>
  <c r="W188" i="16"/>
  <c r="AD455" i="16"/>
  <c r="W479" i="16"/>
  <c r="AF526" i="16"/>
  <c r="AD526" i="16"/>
  <c r="AF554" i="16"/>
  <c r="U461" i="16"/>
  <c r="U495" i="16"/>
  <c r="AG557" i="16"/>
  <c r="AH557" i="16"/>
  <c r="AG584" i="16"/>
  <c r="AH584" i="16"/>
  <c r="AG586" i="16"/>
  <c r="AH586" i="16"/>
  <c r="U586" i="16"/>
  <c r="AF360" i="16"/>
  <c r="AF380" i="16"/>
  <c r="AF426" i="16"/>
  <c r="U407" i="16"/>
  <c r="W398" i="16"/>
  <c r="W426" i="16"/>
  <c r="AB455" i="16"/>
  <c r="W455" i="16"/>
  <c r="W503" i="16"/>
  <c r="W554" i="16"/>
  <c r="AB554" i="16"/>
  <c r="Y583" i="16"/>
  <c r="AD583" i="16"/>
  <c r="W583" i="16"/>
  <c r="U411" i="16"/>
  <c r="U412" i="16"/>
  <c r="U476" i="16"/>
  <c r="AG568" i="16"/>
  <c r="AH568" i="16" s="1"/>
  <c r="U384" i="16"/>
  <c r="U380" i="16" s="1"/>
  <c r="U546" i="16"/>
  <c r="U561" i="16"/>
  <c r="U577" i="16"/>
  <c r="AG608" i="16"/>
  <c r="AH608" i="16" s="1"/>
  <c r="L607" i="16"/>
  <c r="U624" i="16"/>
  <c r="AD360" i="16"/>
  <c r="U416" i="16"/>
  <c r="U415" i="16"/>
  <c r="U400" i="16"/>
  <c r="U398" i="16" s="1"/>
  <c r="U438" i="16"/>
  <c r="W319" i="16"/>
  <c r="U430" i="16"/>
  <c r="U439" i="16"/>
  <c r="U472" i="16"/>
  <c r="Y522" i="16"/>
  <c r="P539" i="16"/>
  <c r="U565" i="16"/>
  <c r="U588" i="16"/>
  <c r="AG589" i="16"/>
  <c r="AH589" i="16" s="1"/>
  <c r="AG600" i="16"/>
  <c r="AH600" i="16" s="1"/>
  <c r="U612" i="16"/>
  <c r="U614" i="16"/>
  <c r="Y224" i="16"/>
  <c r="U637" i="16"/>
  <c r="U636" i="16"/>
  <c r="L126" i="16"/>
  <c r="L583" i="16"/>
  <c r="L285" i="16"/>
  <c r="W30" i="16"/>
  <c r="U481" i="16"/>
  <c r="U130" i="16"/>
  <c r="U401" i="16"/>
  <c r="W261" i="16"/>
  <c r="L526" i="16"/>
  <c r="U594" i="16"/>
  <c r="U434" i="16"/>
  <c r="U464" i="16"/>
  <c r="U441" i="16"/>
  <c r="L188" i="16"/>
  <c r="U248" i="16"/>
  <c r="U116" i="16"/>
  <c r="L224" i="16"/>
  <c r="J503" i="16"/>
  <c r="U91" i="16"/>
  <c r="P604" i="16"/>
  <c r="P605" i="16"/>
  <c r="U604" i="16"/>
  <c r="L39" i="16"/>
  <c r="U190" i="16"/>
  <c r="L52" i="16"/>
  <c r="U324" i="16"/>
  <c r="U83" i="16"/>
  <c r="P534" i="16"/>
  <c r="U534" i="16"/>
  <c r="U435" i="16"/>
  <c r="P568" i="16"/>
  <c r="U568" i="16"/>
  <c r="P557" i="16"/>
  <c r="L554" i="16"/>
  <c r="U484" i="16"/>
  <c r="U423" i="16"/>
  <c r="U420" i="16"/>
  <c r="L129" i="16"/>
  <c r="U119" i="16"/>
  <c r="U104" i="16"/>
  <c r="U41" i="16"/>
  <c r="J52" i="16"/>
  <c r="U112" i="16"/>
  <c r="U22" i="16"/>
  <c r="U225" i="16"/>
  <c r="U428" i="16"/>
  <c r="U608" i="16"/>
  <c r="U607" i="16" s="1"/>
  <c r="Y504" i="16"/>
  <c r="Y503" i="16" s="1"/>
  <c r="W288" i="16"/>
  <c r="U584" i="16"/>
  <c r="P554" i="16"/>
  <c r="U557" i="16"/>
  <c r="U54" i="16"/>
  <c r="U52" i="16"/>
  <c r="G53" i="32"/>
  <c r="I4" i="16" l="1"/>
  <c r="D45" i="31"/>
  <c r="AH526" i="16"/>
  <c r="H484" i="3"/>
  <c r="A11" i="24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N46" i="24"/>
  <c r="N28" i="24"/>
  <c r="L19" i="24"/>
  <c r="K41" i="24"/>
  <c r="M41" i="24" s="1"/>
  <c r="L10" i="24"/>
  <c r="N14" i="24"/>
  <c r="L22" i="24"/>
  <c r="L8" i="24"/>
  <c r="N33" i="24"/>
  <c r="K22" i="24"/>
  <c r="M22" i="24" s="1"/>
  <c r="N48" i="24"/>
  <c r="L26" i="24"/>
  <c r="N17" i="24"/>
  <c r="N39" i="24"/>
  <c r="N8" i="24"/>
  <c r="L9" i="24"/>
  <c r="K13" i="24"/>
  <c r="M13" i="24" s="1"/>
  <c r="N22" i="24"/>
  <c r="L21" i="24"/>
  <c r="N18" i="24"/>
  <c r="N21" i="24"/>
  <c r="L25" i="24"/>
  <c r="K39" i="24"/>
  <c r="M39" i="24" s="1"/>
  <c r="N15" i="24"/>
  <c r="N44" i="24"/>
  <c r="L20" i="24"/>
  <c r="K16" i="24"/>
  <c r="M16" i="24" s="1"/>
  <c r="L44" i="24"/>
  <c r="N31" i="24"/>
  <c r="N7" i="24"/>
  <c r="K26" i="24"/>
  <c r="M26" i="24" s="1"/>
  <c r="L6" i="24"/>
  <c r="L7" i="24"/>
  <c r="L12" i="24"/>
  <c r="N16" i="24"/>
  <c r="N19" i="24"/>
  <c r="K42" i="24"/>
  <c r="M42" i="24" s="1"/>
  <c r="K12" i="24"/>
  <c r="M12" i="24" s="1"/>
  <c r="K45" i="24"/>
  <c r="M45" i="24" s="1"/>
  <c r="N10" i="24"/>
  <c r="N43" i="24"/>
  <c r="K38" i="24"/>
  <c r="M38" i="24" s="1"/>
  <c r="L32" i="24"/>
  <c r="K19" i="24"/>
  <c r="M19" i="24" s="1"/>
  <c r="K33" i="24"/>
  <c r="M33" i="24" s="1"/>
  <c r="N11" i="24"/>
  <c r="K28" i="24"/>
  <c r="M28" i="24" s="1"/>
  <c r="K5" i="24"/>
  <c r="M5" i="24" s="1"/>
  <c r="J50" i="3"/>
  <c r="J54" i="3"/>
  <c r="I26" i="3" s="1"/>
  <c r="J168" i="3"/>
  <c r="J151" i="3"/>
  <c r="I9" i="3" s="1"/>
  <c r="J134" i="3"/>
  <c r="I613" i="7"/>
  <c r="AE4" i="16"/>
  <c r="AH583" i="16"/>
  <c r="AH607" i="16"/>
  <c r="AH554" i="16"/>
  <c r="J63" i="3"/>
  <c r="I11" i="3" s="1"/>
  <c r="H456" i="3"/>
  <c r="AF188" i="16"/>
  <c r="AE5" i="16" s="1"/>
  <c r="U226" i="16"/>
  <c r="L38" i="24"/>
  <c r="N27" i="24"/>
  <c r="L43" i="24"/>
  <c r="N41" i="24"/>
  <c r="K10" i="24"/>
  <c r="M10" i="24" s="1"/>
  <c r="L46" i="24"/>
  <c r="K31" i="24"/>
  <c r="M31" i="24" s="1"/>
  <c r="L34" i="24"/>
  <c r="K14" i="24"/>
  <c r="M14" i="24" s="1"/>
  <c r="L24" i="24"/>
  <c r="N47" i="24"/>
  <c r="L35" i="24"/>
  <c r="L13" i="24"/>
  <c r="K11" i="24"/>
  <c r="M11" i="24" s="1"/>
  <c r="K43" i="24"/>
  <c r="M43" i="24" s="1"/>
  <c r="K27" i="24"/>
  <c r="M27" i="24" s="1"/>
  <c r="L18" i="24"/>
  <c r="L45" i="24"/>
  <c r="K9" i="24"/>
  <c r="M9" i="24" s="1"/>
  <c r="L15" i="24"/>
  <c r="L29" i="24"/>
  <c r="J155" i="3"/>
  <c r="M614" i="7"/>
  <c r="G614" i="7"/>
  <c r="K36" i="24"/>
  <c r="M36" i="24" s="1"/>
  <c r="K4" i="24"/>
  <c r="M4" i="24" s="1"/>
  <c r="J170" i="3"/>
  <c r="K48" i="24"/>
  <c r="M48" i="24" s="1"/>
  <c r="L4" i="24"/>
  <c r="L14" i="24"/>
  <c r="K6" i="24"/>
  <c r="M6" i="24" s="1"/>
  <c r="K25" i="24"/>
  <c r="M25" i="24" s="1"/>
  <c r="K30" i="24"/>
  <c r="M30" i="24" s="1"/>
  <c r="L27" i="24"/>
  <c r="J140" i="3"/>
  <c r="J133" i="3"/>
  <c r="I8" i="3" s="1"/>
  <c r="J172" i="3"/>
  <c r="T136" i="7"/>
  <c r="T15" i="7"/>
  <c r="T18" i="7"/>
  <c r="T81" i="7"/>
  <c r="T110" i="7"/>
  <c r="T133" i="7"/>
  <c r="T138" i="7"/>
  <c r="T153" i="7"/>
  <c r="T165" i="7"/>
  <c r="T232" i="7"/>
  <c r="T264" i="7"/>
  <c r="T296" i="7"/>
  <c r="T337" i="7"/>
  <c r="T351" i="7"/>
  <c r="T515" i="7"/>
  <c r="T534" i="7"/>
  <c r="T561" i="7"/>
  <c r="T571" i="7"/>
  <c r="K601" i="7"/>
  <c r="T31" i="7"/>
  <c r="T57" i="7"/>
  <c r="T70" i="7"/>
  <c r="T92" i="7"/>
  <c r="T125" i="7"/>
  <c r="T137" i="7"/>
  <c r="T166" i="7"/>
  <c r="T194" i="7"/>
  <c r="T210" i="7"/>
  <c r="T231" i="7"/>
  <c r="T314" i="7"/>
  <c r="T328" i="7"/>
  <c r="O610" i="7"/>
  <c r="O607" i="7" s="1"/>
  <c r="O613" i="7" s="1"/>
  <c r="T358" i="7"/>
  <c r="T360" i="7"/>
  <c r="T377" i="7"/>
  <c r="T405" i="7"/>
  <c r="T429" i="7"/>
  <c r="T446" i="7"/>
  <c r="T486" i="7"/>
  <c r="T502" i="7"/>
  <c r="T526" i="7"/>
  <c r="T551" i="7"/>
  <c r="T554" i="7"/>
  <c r="T556" i="7"/>
  <c r="T566" i="7"/>
  <c r="W39" i="16"/>
  <c r="AD12" i="16"/>
  <c r="AB39" i="16"/>
  <c r="AF80" i="16"/>
  <c r="AB129" i="16"/>
  <c r="O601" i="7"/>
  <c r="T46" i="7"/>
  <c r="T66" i="7"/>
  <c r="T184" i="7"/>
  <c r="T212" i="7"/>
  <c r="T103" i="7"/>
  <c r="K612" i="7"/>
  <c r="K613" i="7" s="1"/>
  <c r="T382" i="7"/>
  <c r="T438" i="7"/>
  <c r="T482" i="7"/>
  <c r="T494" i="7"/>
  <c r="T535" i="7"/>
  <c r="T587" i="7"/>
  <c r="U84" i="16"/>
  <c r="Y129" i="16"/>
  <c r="W250" i="16"/>
  <c r="W224" i="16" s="1"/>
  <c r="N25" i="24"/>
  <c r="K29" i="24"/>
  <c r="M29" i="24" s="1"/>
  <c r="K17" i="24"/>
  <c r="M17" i="24" s="1"/>
  <c r="K8" i="24"/>
  <c r="M8" i="24" s="1"/>
  <c r="N12" i="24"/>
  <c r="L36" i="24"/>
  <c r="N45" i="24"/>
  <c r="K44" i="24"/>
  <c r="M44" i="24" s="1"/>
  <c r="L47" i="24"/>
  <c r="L11" i="24"/>
  <c r="L48" i="24"/>
  <c r="L30" i="24"/>
  <c r="K47" i="24"/>
  <c r="M47" i="24" s="1"/>
  <c r="K34" i="24"/>
  <c r="M34" i="24" s="1"/>
  <c r="N42" i="24"/>
  <c r="K35" i="24"/>
  <c r="M35" i="24" s="1"/>
  <c r="N36" i="24"/>
  <c r="N13" i="24"/>
  <c r="K18" i="24"/>
  <c r="M18" i="24" s="1"/>
  <c r="K37" i="24"/>
  <c r="M37" i="24" s="1"/>
  <c r="N24" i="24"/>
  <c r="N20" i="24"/>
  <c r="G611" i="7"/>
  <c r="G607" i="7" s="1"/>
  <c r="G613" i="7" s="1"/>
  <c r="N26" i="24"/>
  <c r="G601" i="7"/>
  <c r="L42" i="24"/>
  <c r="K24" i="24"/>
  <c r="M24" i="24" s="1"/>
  <c r="D601" i="7"/>
  <c r="N38" i="24"/>
  <c r="N35" i="24"/>
  <c r="K46" i="24"/>
  <c r="M46" i="24" s="1"/>
  <c r="K7" i="24"/>
  <c r="M7" i="24" s="1"/>
  <c r="L23" i="24"/>
  <c r="N5" i="24"/>
  <c r="L33" i="24"/>
  <c r="N4" i="24"/>
  <c r="L5" i="24"/>
  <c r="N32" i="24"/>
  <c r="H489" i="3"/>
  <c r="T22" i="7"/>
  <c r="T37" i="7"/>
  <c r="T91" i="7"/>
  <c r="T181" i="7"/>
  <c r="T213" i="7"/>
  <c r="T222" i="7"/>
  <c r="T240" i="7"/>
  <c r="T249" i="7"/>
  <c r="T268" i="7"/>
  <c r="T298" i="7"/>
  <c r="T304" i="7"/>
  <c r="T335" i="7"/>
  <c r="T361" i="7"/>
  <c r="T415" i="7"/>
  <c r="T419" i="7"/>
  <c r="T546" i="7"/>
  <c r="T588" i="7"/>
  <c r="T43" i="7"/>
  <c r="T52" i="7"/>
  <c r="T65" i="7"/>
  <c r="T68" i="7"/>
  <c r="T73" i="7"/>
  <c r="T82" i="7"/>
  <c r="T139" i="7"/>
  <c r="T186" i="7"/>
  <c r="T200" i="7"/>
  <c r="T219" i="7"/>
  <c r="T255" i="7"/>
  <c r="T295" i="7"/>
  <c r="T374" i="7"/>
  <c r="I612" i="7"/>
  <c r="T389" i="7"/>
  <c r="T398" i="7"/>
  <c r="T403" i="7"/>
  <c r="T427" i="7"/>
  <c r="T473" i="7"/>
  <c r="T478" i="7"/>
  <c r="T490" i="7"/>
  <c r="T496" i="7"/>
  <c r="T531" i="7"/>
  <c r="T575" i="7"/>
  <c r="T576" i="7"/>
  <c r="T579" i="7"/>
  <c r="T589" i="7"/>
  <c r="AB12" i="16"/>
  <c r="AD39" i="16"/>
  <c r="AB52" i="16"/>
  <c r="W52" i="16"/>
  <c r="U85" i="16"/>
  <c r="U209" i="16"/>
  <c r="AD224" i="16"/>
  <c r="N494" i="16"/>
  <c r="U494" i="16" s="1"/>
  <c r="N398" i="16"/>
  <c r="N322" i="16"/>
  <c r="AB322" i="16"/>
  <c r="W607" i="16"/>
  <c r="Y353" i="16"/>
  <c r="X4" i="16" s="1"/>
  <c r="Y360" i="16"/>
  <c r="AF455" i="16"/>
  <c r="I187" i="20"/>
  <c r="N554" i="16"/>
  <c r="N432" i="16"/>
  <c r="U432" i="16" s="1"/>
  <c r="Y491" i="16"/>
  <c r="Y479" i="16" s="1"/>
  <c r="I298" i="20"/>
  <c r="I459" i="20"/>
  <c r="I175" i="20"/>
  <c r="I235" i="20"/>
  <c r="I229" i="20" s="1"/>
  <c r="I360" i="20"/>
  <c r="I351" i="20" s="1"/>
  <c r="I432" i="20"/>
  <c r="I431" i="20" s="1"/>
  <c r="N644" i="16"/>
  <c r="N607" i="16"/>
  <c r="N603" i="16"/>
  <c r="U603" i="16" s="1"/>
  <c r="N599" i="16"/>
  <c r="U599" i="16" s="1"/>
  <c r="N595" i="16"/>
  <c r="U595" i="16" s="1"/>
  <c r="N591" i="16"/>
  <c r="U591" i="16" s="1"/>
  <c r="N587" i="16"/>
  <c r="U587" i="16" s="1"/>
  <c r="N549" i="16"/>
  <c r="U549" i="16" s="1"/>
  <c r="N545" i="16"/>
  <c r="U545" i="16" s="1"/>
  <c r="N541" i="16"/>
  <c r="U541" i="16" s="1"/>
  <c r="N537" i="16"/>
  <c r="U537" i="16" s="1"/>
  <c r="N533" i="16"/>
  <c r="U533" i="16" s="1"/>
  <c r="N529" i="16"/>
  <c r="U529" i="16" s="1"/>
  <c r="N448" i="16"/>
  <c r="U448" i="16" s="1"/>
  <c r="N380" i="16"/>
  <c r="N343" i="16"/>
  <c r="N605" i="16"/>
  <c r="U605" i="16" s="1"/>
  <c r="N601" i="16"/>
  <c r="U601" i="16" s="1"/>
  <c r="N597" i="16"/>
  <c r="U597" i="16" s="1"/>
  <c r="N593" i="16"/>
  <c r="U593" i="16" s="1"/>
  <c r="N589" i="16"/>
  <c r="U589" i="16" s="1"/>
  <c r="N585" i="16"/>
  <c r="U585" i="16" s="1"/>
  <c r="U583" i="16" s="1"/>
  <c r="N551" i="16"/>
  <c r="U551" i="16" s="1"/>
  <c r="N547" i="16"/>
  <c r="U547" i="16" s="1"/>
  <c r="N543" i="16"/>
  <c r="U543" i="16" s="1"/>
  <c r="N539" i="16"/>
  <c r="U539" i="16" s="1"/>
  <c r="N535" i="16"/>
  <c r="U535" i="16" s="1"/>
  <c r="N531" i="16"/>
  <c r="U531" i="16" s="1"/>
  <c r="N527" i="16"/>
  <c r="N510" i="16"/>
  <c r="U510" i="16" s="1"/>
  <c r="U503" i="16" s="1"/>
  <c r="N360" i="16"/>
  <c r="N101" i="16"/>
  <c r="U101" i="16" s="1"/>
  <c r="P224" i="16"/>
  <c r="Q612" i="7"/>
  <c r="AG377" i="16"/>
  <c r="AH377" i="16" s="1"/>
  <c r="AH376" i="16" s="1"/>
  <c r="L377" i="16"/>
  <c r="N377" i="16" s="1"/>
  <c r="AH353" i="16"/>
  <c r="AH343" i="16"/>
  <c r="AH322" i="16"/>
  <c r="AG259" i="16"/>
  <c r="AH259" i="16" s="1"/>
  <c r="AH256" i="16" s="1"/>
  <c r="L259" i="16"/>
  <c r="N320" i="16"/>
  <c r="W320" i="16" s="1"/>
  <c r="N316" i="16"/>
  <c r="U316" i="16" s="1"/>
  <c r="N312" i="16"/>
  <c r="W312" i="16" s="1"/>
  <c r="N308" i="16"/>
  <c r="W308" i="16" s="1"/>
  <c r="N304" i="16"/>
  <c r="W304" i="16" s="1"/>
  <c r="N300" i="16"/>
  <c r="W300" i="16" s="1"/>
  <c r="N296" i="16"/>
  <c r="U296" i="16" s="1"/>
  <c r="N292" i="16"/>
  <c r="U292" i="16" s="1"/>
  <c r="U285" i="16" s="1"/>
  <c r="N286" i="16"/>
  <c r="N280" i="16"/>
  <c r="U280" i="16" s="1"/>
  <c r="N274" i="16"/>
  <c r="W274" i="16" s="1"/>
  <c r="N271" i="16"/>
  <c r="W271" i="16" s="1"/>
  <c r="N253" i="16"/>
  <c r="U253" i="16" s="1"/>
  <c r="N249" i="16"/>
  <c r="U249" i="16" s="1"/>
  <c r="N245" i="16"/>
  <c r="U245" i="16" s="1"/>
  <c r="N241" i="16"/>
  <c r="U241" i="16" s="1"/>
  <c r="N237" i="16"/>
  <c r="U237" i="16" s="1"/>
  <c r="N234" i="16"/>
  <c r="U234" i="16" s="1"/>
  <c r="N218" i="16"/>
  <c r="U218" i="16" s="1"/>
  <c r="N215" i="16"/>
  <c r="U215" i="16" s="1"/>
  <c r="N208" i="16"/>
  <c r="U208" i="16" s="1"/>
  <c r="N202" i="16"/>
  <c r="U202" i="16" s="1"/>
  <c r="N199" i="16"/>
  <c r="U199" i="16" s="1"/>
  <c r="N162" i="16"/>
  <c r="U162" i="16" s="1"/>
  <c r="N158" i="16"/>
  <c r="U158" i="16" s="1"/>
  <c r="N154" i="16"/>
  <c r="U154" i="16" s="1"/>
  <c r="N150" i="16"/>
  <c r="U150" i="16" s="1"/>
  <c r="N146" i="16"/>
  <c r="U146" i="16" s="1"/>
  <c r="N142" i="16"/>
  <c r="U142" i="16" s="1"/>
  <c r="N138" i="16"/>
  <c r="U138" i="16" s="1"/>
  <c r="N134" i="16"/>
  <c r="U134" i="16" s="1"/>
  <c r="U129" i="16" s="1"/>
  <c r="N95" i="16"/>
  <c r="U95" i="16" s="1"/>
  <c r="N87" i="16"/>
  <c r="U87" i="16" s="1"/>
  <c r="N37" i="16"/>
  <c r="U37" i="16" s="1"/>
  <c r="N29" i="16"/>
  <c r="W29" i="16" s="1"/>
  <c r="N20" i="16"/>
  <c r="W20" i="16" s="1"/>
  <c r="L494" i="16"/>
  <c r="P494" i="16" s="1"/>
  <c r="P398" i="16"/>
  <c r="P380" i="16"/>
  <c r="Q611" i="7"/>
  <c r="AH644" i="16"/>
  <c r="AG486" i="16"/>
  <c r="AH486" i="16" s="1"/>
  <c r="AH479" i="16" s="1"/>
  <c r="L486" i="16"/>
  <c r="L448" i="16"/>
  <c r="P448" i="16" s="1"/>
  <c r="AG448" i="16"/>
  <c r="AH448" i="16" s="1"/>
  <c r="N317" i="16"/>
  <c r="W317" i="16" s="1"/>
  <c r="N313" i="16"/>
  <c r="W313" i="16" s="1"/>
  <c r="N309" i="16"/>
  <c r="W309" i="16" s="1"/>
  <c r="N305" i="16"/>
  <c r="W305" i="16" s="1"/>
  <c r="N301" i="16"/>
  <c r="W301" i="16" s="1"/>
  <c r="N297" i="16"/>
  <c r="U297" i="16" s="1"/>
  <c r="N293" i="16"/>
  <c r="W293" i="16" s="1"/>
  <c r="N278" i="16"/>
  <c r="W278" i="16" s="1"/>
  <c r="N268" i="16"/>
  <c r="U268" i="16" s="1"/>
  <c r="N254" i="16"/>
  <c r="U254" i="16" s="1"/>
  <c r="N250" i="16"/>
  <c r="N246" i="16"/>
  <c r="U246" i="16" s="1"/>
  <c r="N242" i="16"/>
  <c r="U242" i="16" s="1"/>
  <c r="N238" i="16"/>
  <c r="U238" i="16" s="1"/>
  <c r="N222" i="16"/>
  <c r="U222" i="16" s="1"/>
  <c r="N212" i="16"/>
  <c r="U212" i="16" s="1"/>
  <c r="N206" i="16"/>
  <c r="U206" i="16" s="1"/>
  <c r="N163" i="16"/>
  <c r="U163" i="16" s="1"/>
  <c r="N159" i="16"/>
  <c r="U159" i="16" s="1"/>
  <c r="N155" i="16"/>
  <c r="U155" i="16" s="1"/>
  <c r="N151" i="16"/>
  <c r="U151" i="16" s="1"/>
  <c r="N147" i="16"/>
  <c r="U147" i="16" s="1"/>
  <c r="N143" i="16"/>
  <c r="U143" i="16" s="1"/>
  <c r="N139" i="16"/>
  <c r="U139" i="16" s="1"/>
  <c r="N135" i="16"/>
  <c r="U135" i="16" s="1"/>
  <c r="N127" i="16"/>
  <c r="N93" i="16"/>
  <c r="U93" i="16" s="1"/>
  <c r="N85" i="16"/>
  <c r="N18" i="16"/>
  <c r="U18" i="16" s="1"/>
  <c r="P353" i="16"/>
  <c r="P343" i="16"/>
  <c r="P52" i="16"/>
  <c r="M608" i="7"/>
  <c r="M607" i="7" s="1"/>
  <c r="M613" i="7" s="1"/>
  <c r="AG459" i="16"/>
  <c r="AH459" i="16" s="1"/>
  <c r="L459" i="16"/>
  <c r="L440" i="16"/>
  <c r="P440" i="16" s="1"/>
  <c r="AG440" i="16"/>
  <c r="AH440" i="16" s="1"/>
  <c r="AG263" i="16"/>
  <c r="AH263" i="16" s="1"/>
  <c r="L263" i="16"/>
  <c r="N318" i="16"/>
  <c r="W318" i="16" s="1"/>
  <c r="N314" i="16"/>
  <c r="U314" i="16" s="1"/>
  <c r="N310" i="16"/>
  <c r="W310" i="16" s="1"/>
  <c r="N306" i="16"/>
  <c r="W306" i="16" s="1"/>
  <c r="N302" i="16"/>
  <c r="W302" i="16" s="1"/>
  <c r="N298" i="16"/>
  <c r="W298" i="16" s="1"/>
  <c r="N294" i="16"/>
  <c r="W294" i="16" s="1"/>
  <c r="N279" i="16"/>
  <c r="U279" i="16" s="1"/>
  <c r="N272" i="16"/>
  <c r="U272" i="16" s="1"/>
  <c r="N235" i="16"/>
  <c r="U235" i="16" s="1"/>
  <c r="N226" i="16"/>
  <c r="N216" i="16"/>
  <c r="U216" i="16" s="1"/>
  <c r="N210" i="16"/>
  <c r="U210" i="16" s="1"/>
  <c r="N207" i="16"/>
  <c r="U207" i="16" s="1"/>
  <c r="N200" i="16"/>
  <c r="U200" i="16" s="1"/>
  <c r="N68" i="16"/>
  <c r="N52" i="16" s="1"/>
  <c r="N48" i="16"/>
  <c r="U48" i="16" s="1"/>
  <c r="N43" i="16"/>
  <c r="U43" i="16" s="1"/>
  <c r="N40" i="16"/>
  <c r="N33" i="16"/>
  <c r="W33" i="16" s="1"/>
  <c r="N26" i="16"/>
  <c r="U26" i="16" s="1"/>
  <c r="N25" i="16"/>
  <c r="W25" i="16" s="1"/>
  <c r="L510" i="16"/>
  <c r="M611" i="7"/>
  <c r="AH503" i="16"/>
  <c r="L432" i="16"/>
  <c r="AG432" i="16"/>
  <c r="AH432" i="16" s="1"/>
  <c r="AH426" i="16" s="1"/>
  <c r="N98" i="16"/>
  <c r="U98" i="16" s="1"/>
  <c r="N94" i="16"/>
  <c r="U94" i="16" s="1"/>
  <c r="N90" i="16"/>
  <c r="U90" i="16" s="1"/>
  <c r="N86" i="16"/>
  <c r="U86" i="16" s="1"/>
  <c r="N82" i="16"/>
  <c r="U82" i="16" s="1"/>
  <c r="N19" i="16"/>
  <c r="U19" i="16" s="1"/>
  <c r="P129" i="16"/>
  <c r="Q609" i="7"/>
  <c r="Q607" i="7" s="1"/>
  <c r="Q613" i="7" s="1"/>
  <c r="AH520" i="16"/>
  <c r="L490" i="16"/>
  <c r="P490" i="16" s="1"/>
  <c r="AG490" i="16"/>
  <c r="AH490" i="16" s="1"/>
  <c r="AH455" i="16"/>
  <c r="L452" i="16"/>
  <c r="P452" i="16" s="1"/>
  <c r="AG452" i="16"/>
  <c r="AH452" i="16" s="1"/>
  <c r="L436" i="16"/>
  <c r="P436" i="16" s="1"/>
  <c r="AG436" i="16"/>
  <c r="AH436" i="16" s="1"/>
  <c r="AH285" i="16"/>
  <c r="N281" i="16"/>
  <c r="U281" i="16" s="1"/>
  <c r="N277" i="16"/>
  <c r="U277" i="16" s="1"/>
  <c r="N273" i="16"/>
  <c r="U273" i="16" s="1"/>
  <c r="N269" i="16"/>
  <c r="U269" i="16" s="1"/>
  <c r="N221" i="16"/>
  <c r="U221" i="16" s="1"/>
  <c r="N217" i="16"/>
  <c r="U217" i="16" s="1"/>
  <c r="N213" i="16"/>
  <c r="U213" i="16" s="1"/>
  <c r="N209" i="16"/>
  <c r="N205" i="16"/>
  <c r="U205" i="16" s="1"/>
  <c r="N201" i="16"/>
  <c r="U201" i="16" s="1"/>
  <c r="N197" i="16"/>
  <c r="U197" i="16" s="1"/>
  <c r="U188" i="16" s="1"/>
  <c r="N96" i="16"/>
  <c r="U96" i="16" s="1"/>
  <c r="N92" i="16"/>
  <c r="U92" i="16" s="1"/>
  <c r="N88" i="16"/>
  <c r="U88" i="16" s="1"/>
  <c r="N84" i="16"/>
  <c r="N17" i="16"/>
  <c r="U17" i="16" s="1"/>
  <c r="M612" i="7"/>
  <c r="AH188" i="16"/>
  <c r="AH360" i="16"/>
  <c r="AH305" i="16"/>
  <c r="AH224" i="16"/>
  <c r="AH148" i="16"/>
  <c r="AH114" i="16"/>
  <c r="AH80" i="16" s="1"/>
  <c r="AH52" i="16"/>
  <c r="L99" i="16"/>
  <c r="L109" i="16"/>
  <c r="P109" i="16" s="1"/>
  <c r="P80" i="16" s="1"/>
  <c r="L107" i="16"/>
  <c r="P107" i="16" s="1"/>
  <c r="L101" i="16"/>
  <c r="P101" i="16" s="1"/>
  <c r="L31" i="16"/>
  <c r="P31" i="16" s="1"/>
  <c r="L23" i="16"/>
  <c r="P23" i="16" s="1"/>
  <c r="L15" i="16"/>
  <c r="AH175" i="16"/>
  <c r="AH129" i="16" s="1"/>
  <c r="AH12" i="16"/>
  <c r="AH39" i="16"/>
  <c r="C607" i="7"/>
  <c r="H14" i="18"/>
  <c r="F558" i="18"/>
  <c r="H183" i="18" l="1"/>
  <c r="I183" i="18" s="1"/>
  <c r="H97" i="18"/>
  <c r="I97" i="18" s="1"/>
  <c r="H86" i="18"/>
  <c r="I86" i="18" s="1"/>
  <c r="H71" i="18"/>
  <c r="I71" i="18" s="1"/>
  <c r="H67" i="18"/>
  <c r="I67" i="18" s="1"/>
  <c r="H63" i="18"/>
  <c r="I63" i="18" s="1"/>
  <c r="H41" i="18"/>
  <c r="I41" i="18" s="1"/>
  <c r="H857" i="18"/>
  <c r="I857" i="18" s="1"/>
  <c r="H341" i="18"/>
  <c r="H339" i="18"/>
  <c r="I339" i="18" s="1"/>
  <c r="H340" i="18"/>
  <c r="I340" i="18" s="1"/>
  <c r="H23" i="33"/>
  <c r="H25" i="33" s="1"/>
  <c r="G25" i="18" s="1"/>
  <c r="H25" i="18" s="1"/>
  <c r="I25" i="18" s="1"/>
  <c r="H856" i="18"/>
  <c r="I856" i="18" s="1"/>
  <c r="H850" i="18"/>
  <c r="I850" i="18" s="1"/>
  <c r="H411" i="18"/>
  <c r="I411" i="18" s="1"/>
  <c r="H855" i="18"/>
  <c r="I855" i="18" s="1"/>
  <c r="H858" i="18"/>
  <c r="I858" i="18" s="1"/>
  <c r="F929" i="18"/>
  <c r="Q615" i="7"/>
  <c r="G534" i="20"/>
  <c r="K615" i="7"/>
  <c r="F927" i="18"/>
  <c r="O615" i="7"/>
  <c r="F928" i="18"/>
  <c r="N376" i="16"/>
  <c r="U377" i="16"/>
  <c r="U376" i="16" s="1"/>
  <c r="P486" i="16"/>
  <c r="P479" i="16" s="1"/>
  <c r="L479" i="16"/>
  <c r="N486" i="16"/>
  <c r="F955" i="18"/>
  <c r="F954" i="18"/>
  <c r="P459" i="16"/>
  <c r="P455" i="16" s="1"/>
  <c r="L455" i="16"/>
  <c r="N503" i="16"/>
  <c r="G615" i="7"/>
  <c r="F924" i="18"/>
  <c r="F926" i="18"/>
  <c r="I615" i="7"/>
  <c r="X5" i="16"/>
  <c r="C619" i="7"/>
  <c r="E619" i="7" s="1"/>
  <c r="F922" i="18" s="1"/>
  <c r="C613" i="7"/>
  <c r="P15" i="16"/>
  <c r="P12" i="16" s="1"/>
  <c r="N15" i="16"/>
  <c r="L12" i="16"/>
  <c r="P432" i="16"/>
  <c r="P426" i="16" s="1"/>
  <c r="L426" i="16"/>
  <c r="P510" i="16"/>
  <c r="P503" i="16" s="1"/>
  <c r="L503" i="16"/>
  <c r="N31" i="16"/>
  <c r="U31" i="16" s="1"/>
  <c r="N107" i="16"/>
  <c r="U107" i="16" s="1"/>
  <c r="P259" i="16"/>
  <c r="N259" i="16"/>
  <c r="L256" i="16"/>
  <c r="N129" i="16"/>
  <c r="N526" i="16"/>
  <c r="U527" i="16"/>
  <c r="U526" i="16" s="1"/>
  <c r="N440" i="16"/>
  <c r="U440" i="16" s="1"/>
  <c r="N436" i="16"/>
  <c r="N459" i="16"/>
  <c r="K32" i="24"/>
  <c r="M32" i="24" s="1"/>
  <c r="N29" i="24"/>
  <c r="L41" i="24"/>
  <c r="K20" i="24"/>
  <c r="M20" i="24" s="1"/>
  <c r="L31" i="24"/>
  <c r="L37" i="24"/>
  <c r="I22" i="3"/>
  <c r="K21" i="24"/>
  <c r="M21" i="24" s="1"/>
  <c r="N40" i="24"/>
  <c r="K40" i="24"/>
  <c r="M40" i="24" s="1"/>
  <c r="L17" i="24"/>
  <c r="N6" i="24"/>
  <c r="L16" i="24"/>
  <c r="L39" i="24"/>
  <c r="N37" i="24"/>
  <c r="N34" i="24"/>
  <c r="L28" i="24"/>
  <c r="N30" i="24"/>
  <c r="L40" i="24"/>
  <c r="K15" i="24"/>
  <c r="M15" i="24" s="1"/>
  <c r="N23" i="24"/>
  <c r="K23" i="24"/>
  <c r="M23" i="24" s="1"/>
  <c r="N9" i="24"/>
  <c r="N23" i="16"/>
  <c r="U23" i="16" s="1"/>
  <c r="F930" i="18"/>
  <c r="M615" i="7"/>
  <c r="N126" i="16"/>
  <c r="U127" i="16"/>
  <c r="U126" i="16" s="1"/>
  <c r="N285" i="16"/>
  <c r="W286" i="16"/>
  <c r="W285" i="16" s="1"/>
  <c r="P377" i="16"/>
  <c r="P376" i="16" s="1"/>
  <c r="L376" i="16"/>
  <c r="N224" i="16"/>
  <c r="AA4" i="16"/>
  <c r="AA5" i="16"/>
  <c r="U224" i="16"/>
  <c r="H18" i="18"/>
  <c r="I18" i="18" s="1"/>
  <c r="H30" i="18"/>
  <c r="I30" i="18" s="1"/>
  <c r="H40" i="18"/>
  <c r="I40" i="18" s="1"/>
  <c r="H45" i="18"/>
  <c r="I45" i="18" s="1"/>
  <c r="H49" i="18"/>
  <c r="I49" i="18" s="1"/>
  <c r="H54" i="18"/>
  <c r="I54" i="18" s="1"/>
  <c r="H58" i="18"/>
  <c r="I58" i="18" s="1"/>
  <c r="H66" i="18"/>
  <c r="I66" i="18" s="1"/>
  <c r="H74" i="18"/>
  <c r="I74" i="18" s="1"/>
  <c r="H77" i="18"/>
  <c r="I77" i="18" s="1"/>
  <c r="H80" i="18"/>
  <c r="I80" i="18" s="1"/>
  <c r="H83" i="18"/>
  <c r="I83" i="18" s="1"/>
  <c r="H88" i="18"/>
  <c r="I88" i="18" s="1"/>
  <c r="H92" i="18"/>
  <c r="I92" i="18" s="1"/>
  <c r="H102" i="18"/>
  <c r="I102" i="18" s="1"/>
  <c r="H106" i="18"/>
  <c r="I106" i="18" s="1"/>
  <c r="H110" i="18"/>
  <c r="I110" i="18" s="1"/>
  <c r="H115" i="18"/>
  <c r="I115" i="18" s="1"/>
  <c r="H119" i="18"/>
  <c r="I119" i="18" s="1"/>
  <c r="H123" i="18"/>
  <c r="I123" i="18" s="1"/>
  <c r="H128" i="18"/>
  <c r="I128" i="18" s="1"/>
  <c r="H132" i="18"/>
  <c r="I132" i="18" s="1"/>
  <c r="H136" i="18"/>
  <c r="I136" i="18" s="1"/>
  <c r="H143" i="18"/>
  <c r="I143" i="18" s="1"/>
  <c r="H150" i="18"/>
  <c r="I150" i="18" s="1"/>
  <c r="H154" i="18"/>
  <c r="I154" i="18" s="1"/>
  <c r="H159" i="18"/>
  <c r="I159" i="18" s="1"/>
  <c r="H164" i="18"/>
  <c r="I164" i="18" s="1"/>
  <c r="H168" i="18"/>
  <c r="I168" i="18" s="1"/>
  <c r="H174" i="18"/>
  <c r="I174" i="18" s="1"/>
  <c r="I173" i="18" s="1"/>
  <c r="D24" i="26" s="1"/>
  <c r="L24" i="26" s="1"/>
  <c r="H180" i="18"/>
  <c r="I180" i="18" s="1"/>
  <c r="H184" i="18"/>
  <c r="I184" i="18" s="1"/>
  <c r="H187" i="18"/>
  <c r="I187" i="18" s="1"/>
  <c r="H191" i="18"/>
  <c r="I191" i="18" s="1"/>
  <c r="H197" i="18"/>
  <c r="I197" i="18" s="1"/>
  <c r="H201" i="18"/>
  <c r="I201" i="18" s="1"/>
  <c r="H208" i="18"/>
  <c r="I208" i="18" s="1"/>
  <c r="H211" i="18"/>
  <c r="I211" i="18" s="1"/>
  <c r="H215" i="18"/>
  <c r="I215" i="18" s="1"/>
  <c r="H219" i="18"/>
  <c r="I219" i="18" s="1"/>
  <c r="H223" i="18"/>
  <c r="I223" i="18" s="1"/>
  <c r="H227" i="18"/>
  <c r="H230" i="18"/>
  <c r="I230" i="18" s="1"/>
  <c r="H234" i="18"/>
  <c r="I234" i="18" s="1"/>
  <c r="H237" i="18"/>
  <c r="I237" i="18" s="1"/>
  <c r="H240" i="18"/>
  <c r="I240" i="18" s="1"/>
  <c r="H246" i="18"/>
  <c r="I246" i="18" s="1"/>
  <c r="H250" i="18"/>
  <c r="I250" i="18" s="1"/>
  <c r="H254" i="18"/>
  <c r="I254" i="18" s="1"/>
  <c r="H259" i="18"/>
  <c r="I259" i="18" s="1"/>
  <c r="H263" i="18"/>
  <c r="I263" i="18" s="1"/>
  <c r="H267" i="18"/>
  <c r="I267" i="18" s="1"/>
  <c r="H271" i="18"/>
  <c r="I271" i="18" s="1"/>
  <c r="H275" i="18"/>
  <c r="I275" i="18" s="1"/>
  <c r="H280" i="18"/>
  <c r="I280" i="18" s="1"/>
  <c r="H284" i="18"/>
  <c r="I284" i="18" s="1"/>
  <c r="H288" i="18"/>
  <c r="I288" i="18" s="1"/>
  <c r="H292" i="18"/>
  <c r="I292" i="18" s="1"/>
  <c r="H296" i="18"/>
  <c r="I296" i="18" s="1"/>
  <c r="H300" i="18"/>
  <c r="I300" i="18" s="1"/>
  <c r="H304" i="18"/>
  <c r="I304" i="18" s="1"/>
  <c r="H309" i="18"/>
  <c r="I309" i="18" s="1"/>
  <c r="H313" i="18"/>
  <c r="I313" i="18" s="1"/>
  <c r="H316" i="18"/>
  <c r="I316" i="18" s="1"/>
  <c r="H320" i="18"/>
  <c r="I320" i="18" s="1"/>
  <c r="H333" i="18"/>
  <c r="I333" i="18" s="1"/>
  <c r="H335" i="18"/>
  <c r="I335" i="18" s="1"/>
  <c r="H337" i="18"/>
  <c r="I337" i="18" s="1"/>
  <c r="H342" i="18"/>
  <c r="I342" i="18" s="1"/>
  <c r="H346" i="18"/>
  <c r="I346" i="18" s="1"/>
  <c r="H353" i="18"/>
  <c r="I353" i="18" s="1"/>
  <c r="H358" i="18"/>
  <c r="I358" i="18" s="1"/>
  <c r="H362" i="18"/>
  <c r="I362" i="18" s="1"/>
  <c r="H367" i="18"/>
  <c r="I367" i="18" s="1"/>
  <c r="H371" i="18"/>
  <c r="I371" i="18" s="1"/>
  <c r="H375" i="18"/>
  <c r="I375" i="18" s="1"/>
  <c r="H379" i="18"/>
  <c r="I379" i="18" s="1"/>
  <c r="H385" i="18"/>
  <c r="I385" i="18" s="1"/>
  <c r="H389" i="18"/>
  <c r="I389" i="18" s="1"/>
  <c r="H393" i="18"/>
  <c r="I393" i="18" s="1"/>
  <c r="H31" i="18"/>
  <c r="I31" i="18" s="1"/>
  <c r="H35" i="18"/>
  <c r="I35" i="18" s="1"/>
  <c r="H43" i="18"/>
  <c r="I43" i="18" s="1"/>
  <c r="H48" i="18"/>
  <c r="I48" i="18" s="1"/>
  <c r="H55" i="18"/>
  <c r="I55" i="18" s="1"/>
  <c r="H72" i="18"/>
  <c r="I72" i="18" s="1"/>
  <c r="H81" i="18"/>
  <c r="I81" i="18" s="1"/>
  <c r="H87" i="18"/>
  <c r="I87" i="18" s="1"/>
  <c r="H93" i="18"/>
  <c r="I93" i="18" s="1"/>
  <c r="H99" i="18"/>
  <c r="I99" i="18" s="1"/>
  <c r="H105" i="18"/>
  <c r="I105" i="18" s="1"/>
  <c r="H111" i="18"/>
  <c r="I111" i="18" s="1"/>
  <c r="H117" i="18"/>
  <c r="I117" i="18" s="1"/>
  <c r="H122" i="18"/>
  <c r="I122" i="18" s="1"/>
  <c r="H129" i="18"/>
  <c r="I129" i="18" s="1"/>
  <c r="H134" i="18"/>
  <c r="I134" i="18" s="1"/>
  <c r="H151" i="18"/>
  <c r="I151" i="18" s="1"/>
  <c r="H157" i="18"/>
  <c r="I157" i="18" s="1"/>
  <c r="H163" i="18"/>
  <c r="I163" i="18" s="1"/>
  <c r="H169" i="18"/>
  <c r="I169" i="18" s="1"/>
  <c r="H178" i="18"/>
  <c r="I178" i="18" s="1"/>
  <c r="H188" i="18"/>
  <c r="I188" i="18" s="1"/>
  <c r="H195" i="18"/>
  <c r="H200" i="18"/>
  <c r="I200" i="18" s="1"/>
  <c r="H209" i="18"/>
  <c r="I209" i="18" s="1"/>
  <c r="H213" i="18"/>
  <c r="I213" i="18" s="1"/>
  <c r="H218" i="18"/>
  <c r="I218" i="18" s="1"/>
  <c r="H224" i="18"/>
  <c r="I224" i="18" s="1"/>
  <c r="H233" i="18"/>
  <c r="I233" i="18" s="1"/>
  <c r="H238" i="18"/>
  <c r="I238" i="18" s="1"/>
  <c r="H244" i="18"/>
  <c r="I244" i="18" s="1"/>
  <c r="H249" i="18"/>
  <c r="I249" i="18" s="1"/>
  <c r="H255" i="18"/>
  <c r="I255" i="18" s="1"/>
  <c r="H261" i="18"/>
  <c r="I261" i="18" s="1"/>
  <c r="H266" i="18"/>
  <c r="I266" i="18" s="1"/>
  <c r="H272" i="18"/>
  <c r="I272" i="18" s="1"/>
  <c r="H278" i="18"/>
  <c r="I278" i="18" s="1"/>
  <c r="H283" i="18"/>
  <c r="I283" i="18" s="1"/>
  <c r="H289" i="18"/>
  <c r="I289" i="18" s="1"/>
  <c r="H294" i="18"/>
  <c r="I294" i="18" s="1"/>
  <c r="H299" i="18"/>
  <c r="I299" i="18" s="1"/>
  <c r="H305" i="18"/>
  <c r="I305" i="18" s="1"/>
  <c r="H311" i="18"/>
  <c r="I311" i="18" s="1"/>
  <c r="H315" i="18"/>
  <c r="I315" i="18" s="1"/>
  <c r="H321" i="18"/>
  <c r="I321" i="18" s="1"/>
  <c r="H332" i="18"/>
  <c r="I332" i="18" s="1"/>
  <c r="H345" i="18"/>
  <c r="I345" i="18" s="1"/>
  <c r="H350" i="18"/>
  <c r="I350" i="18" s="1"/>
  <c r="H356" i="18"/>
  <c r="I356" i="18" s="1"/>
  <c r="H361" i="18"/>
  <c r="I361" i="18" s="1"/>
  <c r="H368" i="18"/>
  <c r="I368" i="18" s="1"/>
  <c r="H373" i="18"/>
  <c r="I373" i="18" s="1"/>
  <c r="H378" i="18"/>
  <c r="I378" i="18" s="1"/>
  <c r="H386" i="18"/>
  <c r="I386" i="18" s="1"/>
  <c r="H391" i="18"/>
  <c r="I391" i="18" s="1"/>
  <c r="H396" i="18"/>
  <c r="I396" i="18" s="1"/>
  <c r="H400" i="18"/>
  <c r="I400" i="18" s="1"/>
  <c r="H404" i="18"/>
  <c r="I404" i="18" s="1"/>
  <c r="H408" i="18"/>
  <c r="I408" i="18" s="1"/>
  <c r="H412" i="18"/>
  <c r="I412" i="18" s="1"/>
  <c r="H416" i="18"/>
  <c r="I416" i="18" s="1"/>
  <c r="H420" i="18"/>
  <c r="I420" i="18" s="1"/>
  <c r="H424" i="18"/>
  <c r="I424" i="18" s="1"/>
  <c r="H427" i="18"/>
  <c r="I427" i="18" s="1"/>
  <c r="H431" i="18"/>
  <c r="I431" i="18" s="1"/>
  <c r="H435" i="18"/>
  <c r="I435" i="18" s="1"/>
  <c r="H439" i="18"/>
  <c r="I439" i="18" s="1"/>
  <c r="H443" i="18"/>
  <c r="I443" i="18" s="1"/>
  <c r="H447" i="18"/>
  <c r="I447" i="18" s="1"/>
  <c r="H451" i="18"/>
  <c r="I451" i="18" s="1"/>
  <c r="H455" i="18"/>
  <c r="I455" i="18" s="1"/>
  <c r="H459" i="18"/>
  <c r="I459" i="18" s="1"/>
  <c r="H463" i="18"/>
  <c r="I463" i="18" s="1"/>
  <c r="H467" i="18"/>
  <c r="I467" i="18" s="1"/>
  <c r="H471" i="18"/>
  <c r="I471" i="18" s="1"/>
  <c r="H475" i="18"/>
  <c r="I475" i="18" s="1"/>
  <c r="H479" i="18"/>
  <c r="I479" i="18" s="1"/>
  <c r="H483" i="18"/>
  <c r="I483" i="18" s="1"/>
  <c r="H487" i="18"/>
  <c r="I487" i="18" s="1"/>
  <c r="H491" i="18"/>
  <c r="I491" i="18" s="1"/>
  <c r="H495" i="18"/>
  <c r="I495" i="18" s="1"/>
  <c r="H499" i="18"/>
  <c r="I499" i="18" s="1"/>
  <c r="H28" i="18"/>
  <c r="I28" i="18" s="1"/>
  <c r="H34" i="18"/>
  <c r="I34" i="18" s="1"/>
  <c r="H39" i="18"/>
  <c r="I39" i="18" s="1"/>
  <c r="H46" i="18"/>
  <c r="I46" i="18" s="1"/>
  <c r="H52" i="18"/>
  <c r="I52" i="18" s="1"/>
  <c r="H57" i="18"/>
  <c r="I57" i="18" s="1"/>
  <c r="H68" i="18"/>
  <c r="I68" i="18" s="1"/>
  <c r="H90" i="18"/>
  <c r="I90" i="18" s="1"/>
  <c r="H95" i="18"/>
  <c r="I95" i="18" s="1"/>
  <c r="H103" i="18"/>
  <c r="I103" i="18" s="1"/>
  <c r="H108" i="18"/>
  <c r="I108" i="18" s="1"/>
  <c r="H114" i="18"/>
  <c r="I114" i="18" s="1"/>
  <c r="H120" i="18"/>
  <c r="I120" i="18" s="1"/>
  <c r="H125" i="18"/>
  <c r="I125" i="18" s="1"/>
  <c r="H131" i="18"/>
  <c r="I131" i="18" s="1"/>
  <c r="H140" i="18"/>
  <c r="I140" i="18" s="1"/>
  <c r="H148" i="18"/>
  <c r="I148" i="18" s="1"/>
  <c r="H153" i="18"/>
  <c r="I153" i="18" s="1"/>
  <c r="H160" i="18"/>
  <c r="I160" i="18" s="1"/>
  <c r="H166" i="18"/>
  <c r="I166" i="18" s="1"/>
  <c r="H171" i="18"/>
  <c r="I171" i="18" s="1"/>
  <c r="H181" i="18"/>
  <c r="I181" i="18" s="1"/>
  <c r="H185" i="18"/>
  <c r="I185" i="18" s="1"/>
  <c r="H190" i="18"/>
  <c r="I190" i="18" s="1"/>
  <c r="H198" i="18"/>
  <c r="I198" i="18" s="1"/>
  <c r="H203" i="18"/>
  <c r="H206" i="18"/>
  <c r="I206" i="18" s="1"/>
  <c r="H210" i="18"/>
  <c r="I210" i="18" s="1"/>
  <c r="H216" i="18"/>
  <c r="I216" i="18" s="1"/>
  <c r="H221" i="18"/>
  <c r="I221" i="18" s="1"/>
  <c r="H226" i="18"/>
  <c r="I226" i="18" s="1"/>
  <c r="H231" i="18"/>
  <c r="I231" i="18" s="1"/>
  <c r="H236" i="18"/>
  <c r="I236" i="18" s="1"/>
  <c r="H247" i="18"/>
  <c r="I247" i="18" s="1"/>
  <c r="H252" i="18"/>
  <c r="I252" i="18" s="1"/>
  <c r="H258" i="18"/>
  <c r="I258" i="18" s="1"/>
  <c r="H264" i="18"/>
  <c r="I264" i="18" s="1"/>
  <c r="H269" i="18"/>
  <c r="I269" i="18" s="1"/>
  <c r="H274" i="18"/>
  <c r="I274" i="18" s="1"/>
  <c r="H281" i="18"/>
  <c r="I281" i="18" s="1"/>
  <c r="H286" i="18"/>
  <c r="I286" i="18" s="1"/>
  <c r="H291" i="18"/>
  <c r="I291" i="18" s="1"/>
  <c r="H297" i="18"/>
  <c r="I297" i="18" s="1"/>
  <c r="H302" i="18"/>
  <c r="I302" i="18" s="1"/>
  <c r="H308" i="18"/>
  <c r="I308" i="18" s="1"/>
  <c r="H318" i="18"/>
  <c r="I318" i="18" s="1"/>
  <c r="H325" i="18"/>
  <c r="I325" i="18" s="1"/>
  <c r="H336" i="18"/>
  <c r="I336" i="18" s="1"/>
  <c r="H343" i="18"/>
  <c r="I343" i="18" s="1"/>
  <c r="H348" i="18"/>
  <c r="I348" i="18" s="1"/>
  <c r="H352" i="18"/>
  <c r="I352" i="18" s="1"/>
  <c r="H359" i="18"/>
  <c r="I359" i="18" s="1"/>
  <c r="H365" i="18"/>
  <c r="I365" i="18" s="1"/>
  <c r="H370" i="18"/>
  <c r="I370" i="18" s="1"/>
  <c r="H376" i="18"/>
  <c r="I376" i="18" s="1"/>
  <c r="H383" i="18"/>
  <c r="I383" i="18" s="1"/>
  <c r="H388" i="18"/>
  <c r="I388" i="18" s="1"/>
  <c r="H394" i="18"/>
  <c r="I394" i="18" s="1"/>
  <c r="H398" i="18"/>
  <c r="I398" i="18" s="1"/>
  <c r="H402" i="18"/>
  <c r="I402" i="18" s="1"/>
  <c r="H406" i="18"/>
  <c r="I406" i="18" s="1"/>
  <c r="H410" i="18"/>
  <c r="I410" i="18" s="1"/>
  <c r="H414" i="18"/>
  <c r="I414" i="18" s="1"/>
  <c r="H418" i="18"/>
  <c r="I418" i="18" s="1"/>
  <c r="H422" i="18"/>
  <c r="I422" i="18" s="1"/>
  <c r="H426" i="18"/>
  <c r="I426" i="18" s="1"/>
  <c r="H429" i="18"/>
  <c r="I429" i="18" s="1"/>
  <c r="H433" i="18"/>
  <c r="I433" i="18" s="1"/>
  <c r="H437" i="18"/>
  <c r="I437" i="18" s="1"/>
  <c r="H441" i="18"/>
  <c r="I441" i="18" s="1"/>
  <c r="H445" i="18"/>
  <c r="I445" i="18" s="1"/>
  <c r="H449" i="18"/>
  <c r="I449" i="18" s="1"/>
  <c r="H453" i="18"/>
  <c r="I453" i="18" s="1"/>
  <c r="H457" i="18"/>
  <c r="I457" i="18" s="1"/>
  <c r="H461" i="18"/>
  <c r="I461" i="18" s="1"/>
  <c r="H465" i="18"/>
  <c r="I465" i="18" s="1"/>
  <c r="H469" i="18"/>
  <c r="I469" i="18" s="1"/>
  <c r="H473" i="18"/>
  <c r="I473" i="18" s="1"/>
  <c r="H477" i="18"/>
  <c r="I477" i="18" s="1"/>
  <c r="H481" i="18"/>
  <c r="I481" i="18" s="1"/>
  <c r="H485" i="18"/>
  <c r="I485" i="18" s="1"/>
  <c r="H489" i="18"/>
  <c r="I489" i="18" s="1"/>
  <c r="H493" i="18"/>
  <c r="I493" i="18" s="1"/>
  <c r="H497" i="18"/>
  <c r="I497" i="18" s="1"/>
  <c r="H501" i="18"/>
  <c r="I501" i="18" s="1"/>
  <c r="H504" i="18"/>
  <c r="I504" i="18" s="1"/>
  <c r="H510" i="18"/>
  <c r="I510" i="18" s="1"/>
  <c r="H514" i="18"/>
  <c r="I514" i="18" s="1"/>
  <c r="H518" i="18"/>
  <c r="I518" i="18" s="1"/>
  <c r="H522" i="18"/>
  <c r="I522" i="18" s="1"/>
  <c r="H526" i="18"/>
  <c r="I526" i="18" s="1"/>
  <c r="H530" i="18"/>
  <c r="I530" i="18" s="1"/>
  <c r="H534" i="18"/>
  <c r="I534" i="18" s="1"/>
  <c r="H47" i="18"/>
  <c r="I47" i="18" s="1"/>
  <c r="H62" i="18"/>
  <c r="I62" i="18" s="1"/>
  <c r="H75" i="18"/>
  <c r="I75" i="18" s="1"/>
  <c r="H79" i="18"/>
  <c r="I79" i="18" s="1"/>
  <c r="H94" i="18"/>
  <c r="I94" i="18" s="1"/>
  <c r="H107" i="18"/>
  <c r="I107" i="18" s="1"/>
  <c r="H118" i="18"/>
  <c r="I118" i="18" s="1"/>
  <c r="H130" i="18"/>
  <c r="I130" i="18" s="1"/>
  <c r="H155" i="18"/>
  <c r="I155" i="18" s="1"/>
  <c r="H167" i="18"/>
  <c r="I167" i="18" s="1"/>
  <c r="H182" i="18"/>
  <c r="I182" i="18" s="1"/>
  <c r="H192" i="18"/>
  <c r="I192" i="18" s="1"/>
  <c r="H196" i="18"/>
  <c r="I196" i="18" s="1"/>
  <c r="H212" i="18"/>
  <c r="I212" i="18" s="1"/>
  <c r="H222" i="18"/>
  <c r="I222" i="18" s="1"/>
  <c r="H229" i="18"/>
  <c r="I229" i="18" s="1"/>
  <c r="H239" i="18"/>
  <c r="I239" i="18" s="1"/>
  <c r="H248" i="18"/>
  <c r="I248" i="18" s="1"/>
  <c r="H260" i="18"/>
  <c r="I260" i="18" s="1"/>
  <c r="H270" i="18"/>
  <c r="I270" i="18" s="1"/>
  <c r="H282" i="18"/>
  <c r="I282" i="18" s="1"/>
  <c r="H293" i="18"/>
  <c r="I293" i="18" s="1"/>
  <c r="H303" i="18"/>
  <c r="I303" i="18" s="1"/>
  <c r="H314" i="18"/>
  <c r="I314" i="18" s="1"/>
  <c r="H327" i="18"/>
  <c r="I327" i="18" s="1"/>
  <c r="H329" i="18"/>
  <c r="I329" i="18" s="1"/>
  <c r="H331" i="18"/>
  <c r="I331" i="18" s="1"/>
  <c r="H338" i="18"/>
  <c r="I338" i="18" s="1"/>
  <c r="I341" i="18"/>
  <c r="H351" i="18"/>
  <c r="I351" i="18" s="1"/>
  <c r="H363" i="18"/>
  <c r="I363" i="18" s="1"/>
  <c r="H374" i="18"/>
  <c r="I374" i="18" s="1"/>
  <c r="H387" i="18"/>
  <c r="I387" i="18" s="1"/>
  <c r="H397" i="18"/>
  <c r="I397" i="18" s="1"/>
  <c r="H405" i="18"/>
  <c r="I405" i="18" s="1"/>
  <c r="H413" i="18"/>
  <c r="I413" i="18" s="1"/>
  <c r="H421" i="18"/>
  <c r="I421" i="18" s="1"/>
  <c r="H428" i="18"/>
  <c r="I428" i="18" s="1"/>
  <c r="H436" i="18"/>
  <c r="I436" i="18" s="1"/>
  <c r="H444" i="18"/>
  <c r="I444" i="18" s="1"/>
  <c r="H452" i="18"/>
  <c r="I452" i="18" s="1"/>
  <c r="H460" i="18"/>
  <c r="I460" i="18" s="1"/>
  <c r="H468" i="18"/>
  <c r="I468" i="18" s="1"/>
  <c r="H476" i="18"/>
  <c r="I476" i="18" s="1"/>
  <c r="H484" i="18"/>
  <c r="I484" i="18" s="1"/>
  <c r="H492" i="18"/>
  <c r="I492" i="18" s="1"/>
  <c r="H500" i="18"/>
  <c r="I500" i="18" s="1"/>
  <c r="H507" i="18"/>
  <c r="I507" i="18" s="1"/>
  <c r="H512" i="18"/>
  <c r="I512" i="18" s="1"/>
  <c r="H517" i="18"/>
  <c r="I517" i="18" s="1"/>
  <c r="H523" i="18"/>
  <c r="I523" i="18" s="1"/>
  <c r="H528" i="18"/>
  <c r="I528" i="18" s="1"/>
  <c r="H533" i="18"/>
  <c r="I533" i="18" s="1"/>
  <c r="H538" i="18"/>
  <c r="I538" i="18" s="1"/>
  <c r="H541" i="18"/>
  <c r="I541" i="18" s="1"/>
  <c r="H545" i="18"/>
  <c r="I545" i="18" s="1"/>
  <c r="H549" i="18"/>
  <c r="I549" i="18" s="1"/>
  <c r="H556" i="18"/>
  <c r="I556" i="18" s="1"/>
  <c r="H559" i="18"/>
  <c r="I559" i="18" s="1"/>
  <c r="H563" i="18"/>
  <c r="I563" i="18" s="1"/>
  <c r="H567" i="18"/>
  <c r="I567" i="18" s="1"/>
  <c r="H570" i="18"/>
  <c r="I570" i="18" s="1"/>
  <c r="H574" i="18"/>
  <c r="I574" i="18" s="1"/>
  <c r="H577" i="18"/>
  <c r="I577" i="18" s="1"/>
  <c r="H582" i="18"/>
  <c r="I582" i="18" s="1"/>
  <c r="H588" i="18"/>
  <c r="I588" i="18" s="1"/>
  <c r="H594" i="18"/>
  <c r="I594" i="18" s="1"/>
  <c r="H598" i="18"/>
  <c r="I598" i="18" s="1"/>
  <c r="H602" i="18"/>
  <c r="I602" i="18" s="1"/>
  <c r="H606" i="18"/>
  <c r="I606" i="18" s="1"/>
  <c r="H615" i="18"/>
  <c r="I615" i="18" s="1"/>
  <c r="H618" i="18"/>
  <c r="I618" i="18" s="1"/>
  <c r="H622" i="18"/>
  <c r="I622" i="18" s="1"/>
  <c r="H626" i="18"/>
  <c r="I626" i="18" s="1"/>
  <c r="H629" i="18"/>
  <c r="I629" i="18" s="1"/>
  <c r="H632" i="18"/>
  <c r="I632" i="18" s="1"/>
  <c r="H637" i="18"/>
  <c r="I637" i="18" s="1"/>
  <c r="H640" i="18"/>
  <c r="I640" i="18" s="1"/>
  <c r="H644" i="18"/>
  <c r="I644" i="18" s="1"/>
  <c r="H654" i="18"/>
  <c r="I654" i="18" s="1"/>
  <c r="H658" i="18"/>
  <c r="I658" i="18" s="1"/>
  <c r="H662" i="18"/>
  <c r="I662" i="18" s="1"/>
  <c r="H665" i="18"/>
  <c r="I665" i="18" s="1"/>
  <c r="H667" i="18"/>
  <c r="I667" i="18" s="1"/>
  <c r="H671" i="18"/>
  <c r="I671" i="18" s="1"/>
  <c r="H675" i="18"/>
  <c r="I675" i="18" s="1"/>
  <c r="H679" i="18"/>
  <c r="I679" i="18" s="1"/>
  <c r="H684" i="18"/>
  <c r="I684" i="18" s="1"/>
  <c r="H688" i="18"/>
  <c r="I688" i="18" s="1"/>
  <c r="H692" i="18"/>
  <c r="I692" i="18" s="1"/>
  <c r="H696" i="18"/>
  <c r="I696" i="18" s="1"/>
  <c r="H700" i="18"/>
  <c r="I700" i="18" s="1"/>
  <c r="H703" i="18"/>
  <c r="I703" i="18" s="1"/>
  <c r="H705" i="18"/>
  <c r="I705" i="18" s="1"/>
  <c r="H709" i="18"/>
  <c r="I709" i="18" s="1"/>
  <c r="H712" i="18"/>
  <c r="I712" i="18" s="1"/>
  <c r="H716" i="18"/>
  <c r="I716" i="18" s="1"/>
  <c r="H721" i="18"/>
  <c r="I721" i="18" s="1"/>
  <c r="H725" i="18"/>
  <c r="I725" i="18" s="1"/>
  <c r="H729" i="18"/>
  <c r="I729" i="18" s="1"/>
  <c r="H733" i="18"/>
  <c r="I733" i="18" s="1"/>
  <c r="H736" i="18"/>
  <c r="I736" i="18" s="1"/>
  <c r="H738" i="18"/>
  <c r="I738" i="18" s="1"/>
  <c r="H741" i="18"/>
  <c r="I741" i="18" s="1"/>
  <c r="H745" i="18"/>
  <c r="I745" i="18" s="1"/>
  <c r="H748" i="18"/>
  <c r="I748" i="18" s="1"/>
  <c r="H752" i="18"/>
  <c r="I752" i="18" s="1"/>
  <c r="H758" i="18"/>
  <c r="I758" i="18" s="1"/>
  <c r="H762" i="18"/>
  <c r="I762" i="18" s="1"/>
  <c r="H766" i="18"/>
  <c r="I766" i="18" s="1"/>
  <c r="H770" i="18"/>
  <c r="I770" i="18" s="1"/>
  <c r="H774" i="18"/>
  <c r="I774" i="18" s="1"/>
  <c r="H778" i="18"/>
  <c r="I778" i="18" s="1"/>
  <c r="H782" i="18"/>
  <c r="I782" i="18" s="1"/>
  <c r="H786" i="18"/>
  <c r="I786" i="18" s="1"/>
  <c r="H793" i="18"/>
  <c r="I793" i="18" s="1"/>
  <c r="H797" i="18"/>
  <c r="I797" i="18" s="1"/>
  <c r="H801" i="18"/>
  <c r="I801" i="18" s="1"/>
  <c r="H805" i="18"/>
  <c r="I805" i="18" s="1"/>
  <c r="H809" i="18"/>
  <c r="I809" i="18" s="1"/>
  <c r="H816" i="18"/>
  <c r="I816" i="18" s="1"/>
  <c r="H820" i="18"/>
  <c r="I820" i="18" s="1"/>
  <c r="H824" i="18"/>
  <c r="I824" i="18" s="1"/>
  <c r="H828" i="18"/>
  <c r="I828" i="18" s="1"/>
  <c r="H833" i="18"/>
  <c r="I833" i="18" s="1"/>
  <c r="H837" i="18"/>
  <c r="I837" i="18" s="1"/>
  <c r="H841" i="18"/>
  <c r="I841" i="18" s="1"/>
  <c r="H845" i="18"/>
  <c r="I845" i="18" s="1"/>
  <c r="H851" i="18"/>
  <c r="I851" i="18" s="1"/>
  <c r="H861" i="18"/>
  <c r="I861" i="18" s="1"/>
  <c r="H865" i="18"/>
  <c r="I865" i="18" s="1"/>
  <c r="H869" i="18"/>
  <c r="I869" i="18" s="1"/>
  <c r="H873" i="18"/>
  <c r="I873" i="18" s="1"/>
  <c r="H878" i="18"/>
  <c r="I878" i="18" s="1"/>
  <c r="H882" i="18"/>
  <c r="I882" i="18" s="1"/>
  <c r="H886" i="18"/>
  <c r="I886" i="18" s="1"/>
  <c r="H890" i="18"/>
  <c r="I890" i="18" s="1"/>
  <c r="H894" i="18"/>
  <c r="I894" i="18" s="1"/>
  <c r="H898" i="18"/>
  <c r="I898" i="18" s="1"/>
  <c r="H902" i="18"/>
  <c r="I902" i="18" s="1"/>
  <c r="H906" i="18"/>
  <c r="I906" i="18" s="1"/>
  <c r="H909" i="18"/>
  <c r="I909" i="18" s="1"/>
  <c r="H913" i="18"/>
  <c r="I913" i="18" s="1"/>
  <c r="H917" i="18"/>
  <c r="I917" i="18" s="1"/>
  <c r="H19" i="18"/>
  <c r="I19" i="18" s="1"/>
  <c r="H27" i="18"/>
  <c r="I27" i="18" s="1"/>
  <c r="H50" i="18"/>
  <c r="I50" i="18" s="1"/>
  <c r="H85" i="18"/>
  <c r="I85" i="18" s="1"/>
  <c r="H98" i="18"/>
  <c r="I98" i="18" s="1"/>
  <c r="H109" i="18"/>
  <c r="I109" i="18" s="1"/>
  <c r="H121" i="18"/>
  <c r="I121" i="18" s="1"/>
  <c r="H133" i="18"/>
  <c r="I133" i="18" s="1"/>
  <c r="H147" i="18"/>
  <c r="I147" i="18" s="1"/>
  <c r="H158" i="18"/>
  <c r="I158" i="18" s="1"/>
  <c r="H170" i="18"/>
  <c r="I170" i="18" s="1"/>
  <c r="H193" i="18"/>
  <c r="I193" i="18" s="1"/>
  <c r="H199" i="18"/>
  <c r="I199" i="18" s="1"/>
  <c r="H205" i="18"/>
  <c r="I205" i="18" s="1"/>
  <c r="H214" i="18"/>
  <c r="I214" i="18" s="1"/>
  <c r="H225" i="18"/>
  <c r="I225" i="18" s="1"/>
  <c r="H232" i="18"/>
  <c r="I232" i="18" s="1"/>
  <c r="H251" i="18"/>
  <c r="I251" i="18" s="1"/>
  <c r="H262" i="18"/>
  <c r="I262" i="18" s="1"/>
  <c r="H273" i="18"/>
  <c r="I273" i="18" s="1"/>
  <c r="H285" i="18"/>
  <c r="I285" i="18" s="1"/>
  <c r="H295" i="18"/>
  <c r="I295" i="18" s="1"/>
  <c r="H306" i="18"/>
  <c r="I306" i="18" s="1"/>
  <c r="H317" i="18"/>
  <c r="I317" i="18" s="1"/>
  <c r="H344" i="18"/>
  <c r="I344" i="18" s="1"/>
  <c r="H355" i="18"/>
  <c r="I355" i="18" s="1"/>
  <c r="H366" i="18"/>
  <c r="I366" i="18" s="1"/>
  <c r="H377" i="18"/>
  <c r="I377" i="18" s="1"/>
  <c r="H390" i="18"/>
  <c r="I390" i="18" s="1"/>
  <c r="H399" i="18"/>
  <c r="I399" i="18" s="1"/>
  <c r="H407" i="18"/>
  <c r="I407" i="18" s="1"/>
  <c r="H415" i="18"/>
  <c r="I415" i="18" s="1"/>
  <c r="H423" i="18"/>
  <c r="I423" i="18" s="1"/>
  <c r="H430" i="18"/>
  <c r="I430" i="18" s="1"/>
  <c r="H438" i="18"/>
  <c r="I438" i="18" s="1"/>
  <c r="H446" i="18"/>
  <c r="I446" i="18" s="1"/>
  <c r="H454" i="18"/>
  <c r="I454" i="18" s="1"/>
  <c r="H462" i="18"/>
  <c r="I462" i="18" s="1"/>
  <c r="H470" i="18"/>
  <c r="I470" i="18" s="1"/>
  <c r="H478" i="18"/>
  <c r="I478" i="18" s="1"/>
  <c r="H486" i="18"/>
  <c r="I486" i="18" s="1"/>
  <c r="H494" i="18"/>
  <c r="I494" i="18" s="1"/>
  <c r="H29" i="18"/>
  <c r="I29" i="18" s="1"/>
  <c r="H42" i="18"/>
  <c r="I42" i="18" s="1"/>
  <c r="H53" i="18"/>
  <c r="I53" i="18" s="1"/>
  <c r="H64" i="18"/>
  <c r="I64" i="18" s="1"/>
  <c r="H76" i="18"/>
  <c r="I76" i="18" s="1"/>
  <c r="H89" i="18"/>
  <c r="I89" i="18" s="1"/>
  <c r="H101" i="18"/>
  <c r="I101" i="18" s="1"/>
  <c r="H112" i="18"/>
  <c r="I112" i="18" s="1"/>
  <c r="H124" i="18"/>
  <c r="I124" i="18" s="1"/>
  <c r="H135" i="18"/>
  <c r="I135" i="18" s="1"/>
  <c r="H149" i="18"/>
  <c r="I149" i="18" s="1"/>
  <c r="H161" i="18"/>
  <c r="I161" i="18" s="1"/>
  <c r="H186" i="18"/>
  <c r="I186" i="18" s="1"/>
  <c r="H202" i="18"/>
  <c r="I202" i="18" s="1"/>
  <c r="H207" i="18"/>
  <c r="I207" i="18" s="1"/>
  <c r="H217" i="18"/>
  <c r="I217" i="18" s="1"/>
  <c r="H228" i="18"/>
  <c r="I228" i="18" s="1"/>
  <c r="H235" i="18"/>
  <c r="I235" i="18" s="1"/>
  <c r="H253" i="18"/>
  <c r="I253" i="18" s="1"/>
  <c r="H265" i="18"/>
  <c r="I265" i="18" s="1"/>
  <c r="H276" i="18"/>
  <c r="I276" i="18" s="1"/>
  <c r="H287" i="18"/>
  <c r="I287" i="18" s="1"/>
  <c r="H298" i="18"/>
  <c r="I298" i="18" s="1"/>
  <c r="H310" i="18"/>
  <c r="I310" i="18" s="1"/>
  <c r="H319" i="18"/>
  <c r="I319" i="18" s="1"/>
  <c r="H328" i="18"/>
  <c r="I328" i="18" s="1"/>
  <c r="H330" i="18"/>
  <c r="I330" i="18" s="1"/>
  <c r="H347" i="18"/>
  <c r="I347" i="18" s="1"/>
  <c r="H357" i="18"/>
  <c r="I357" i="18" s="1"/>
  <c r="H369" i="18"/>
  <c r="I369" i="18" s="1"/>
  <c r="H380" i="18"/>
  <c r="I380" i="18" s="1"/>
  <c r="H392" i="18"/>
  <c r="I392" i="18" s="1"/>
  <c r="H401" i="18"/>
  <c r="I401" i="18" s="1"/>
  <c r="H409" i="18"/>
  <c r="I409" i="18" s="1"/>
  <c r="H417" i="18"/>
  <c r="I417" i="18" s="1"/>
  <c r="H425" i="18"/>
  <c r="I425" i="18" s="1"/>
  <c r="H432" i="18"/>
  <c r="I432" i="18" s="1"/>
  <c r="H440" i="18"/>
  <c r="I440" i="18" s="1"/>
  <c r="H448" i="18"/>
  <c r="I448" i="18" s="1"/>
  <c r="H456" i="18"/>
  <c r="I456" i="18" s="1"/>
  <c r="H464" i="18"/>
  <c r="I464" i="18" s="1"/>
  <c r="H472" i="18"/>
  <c r="I472" i="18" s="1"/>
  <c r="H480" i="18"/>
  <c r="I480" i="18" s="1"/>
  <c r="H488" i="18"/>
  <c r="I488" i="18" s="1"/>
  <c r="H496" i="18"/>
  <c r="I496" i="18" s="1"/>
  <c r="H503" i="18"/>
  <c r="I503" i="18" s="1"/>
  <c r="H509" i="18"/>
  <c r="I509" i="18" s="1"/>
  <c r="H515" i="18"/>
  <c r="I515" i="18" s="1"/>
  <c r="H520" i="18"/>
  <c r="I520" i="18" s="1"/>
  <c r="H525" i="18"/>
  <c r="I525" i="18" s="1"/>
  <c r="H531" i="18"/>
  <c r="I531" i="18" s="1"/>
  <c r="H536" i="18"/>
  <c r="I536" i="18" s="1"/>
  <c r="H543" i="18"/>
  <c r="I543" i="18" s="1"/>
  <c r="H547" i="18"/>
  <c r="I547" i="18" s="1"/>
  <c r="H551" i="18"/>
  <c r="I551" i="18" s="1"/>
  <c r="H557" i="18"/>
  <c r="I557" i="18" s="1"/>
  <c r="H561" i="18"/>
  <c r="I561" i="18" s="1"/>
  <c r="H565" i="18"/>
  <c r="I565" i="18" s="1"/>
  <c r="H569" i="18"/>
  <c r="I569" i="18" s="1"/>
  <c r="H579" i="18"/>
  <c r="I579" i="18" s="1"/>
  <c r="H586" i="18"/>
  <c r="I586" i="18" s="1"/>
  <c r="H590" i="18"/>
  <c r="I590" i="18" s="1"/>
  <c r="H596" i="18"/>
  <c r="I596" i="18" s="1"/>
  <c r="H600" i="18"/>
  <c r="I600" i="18" s="1"/>
  <c r="H604" i="18"/>
  <c r="I604" i="18" s="1"/>
  <c r="H608" i="18"/>
  <c r="I608" i="18" s="1"/>
  <c r="H617" i="18"/>
  <c r="I617" i="18" s="1"/>
  <c r="H620" i="18"/>
  <c r="I620" i="18" s="1"/>
  <c r="H624" i="18"/>
  <c r="I624" i="18" s="1"/>
  <c r="H630" i="18"/>
  <c r="I630" i="18" s="1"/>
  <c r="H636" i="18"/>
  <c r="I636" i="18" s="1"/>
  <c r="H638" i="18"/>
  <c r="I638" i="18" s="1"/>
  <c r="H642" i="18"/>
  <c r="I642" i="18" s="1"/>
  <c r="H646" i="18"/>
  <c r="I646" i="18" s="1"/>
  <c r="H652" i="18"/>
  <c r="I652" i="18" s="1"/>
  <c r="H656" i="18"/>
  <c r="I656" i="18" s="1"/>
  <c r="H660" i="18"/>
  <c r="I660" i="18" s="1"/>
  <c r="H666" i="18"/>
  <c r="I666" i="18" s="1"/>
  <c r="H669" i="18"/>
  <c r="I669" i="18" s="1"/>
  <c r="H673" i="18"/>
  <c r="I673" i="18" s="1"/>
  <c r="H677" i="18"/>
  <c r="I677" i="18" s="1"/>
  <c r="H682" i="18"/>
  <c r="I682" i="18" s="1"/>
  <c r="H686" i="18"/>
  <c r="I686" i="18" s="1"/>
  <c r="H690" i="18"/>
  <c r="I690" i="18" s="1"/>
  <c r="H694" i="18"/>
  <c r="I694" i="18" s="1"/>
  <c r="H698" i="18"/>
  <c r="I698" i="18" s="1"/>
  <c r="H702" i="18"/>
  <c r="I702" i="18" s="1"/>
  <c r="H704" i="18"/>
  <c r="I704" i="18" s="1"/>
  <c r="H707" i="18"/>
  <c r="I707" i="18" s="1"/>
  <c r="H710" i="18"/>
  <c r="I710" i="18" s="1"/>
  <c r="H714" i="18"/>
  <c r="I714" i="18" s="1"/>
  <c r="H719" i="18"/>
  <c r="I719" i="18" s="1"/>
  <c r="H723" i="18"/>
  <c r="I723" i="18" s="1"/>
  <c r="H727" i="18"/>
  <c r="I727" i="18" s="1"/>
  <c r="H731" i="18"/>
  <c r="I731" i="18" s="1"/>
  <c r="H735" i="18"/>
  <c r="I735" i="18" s="1"/>
  <c r="H737" i="18"/>
  <c r="I737" i="18" s="1"/>
  <c r="H739" i="18"/>
  <c r="I739" i="18" s="1"/>
  <c r="H743" i="18"/>
  <c r="I743" i="18" s="1"/>
  <c r="H746" i="18"/>
  <c r="I746" i="18" s="1"/>
  <c r="H750" i="18"/>
  <c r="I750" i="18" s="1"/>
  <c r="H756" i="18"/>
  <c r="I756" i="18" s="1"/>
  <c r="H760" i="18"/>
  <c r="I760" i="18" s="1"/>
  <c r="H764" i="18"/>
  <c r="I764" i="18" s="1"/>
  <c r="H768" i="18"/>
  <c r="I768" i="18" s="1"/>
  <c r="H772" i="18"/>
  <c r="I772" i="18" s="1"/>
  <c r="H776" i="18"/>
  <c r="I776" i="18" s="1"/>
  <c r="H780" i="18"/>
  <c r="I780" i="18" s="1"/>
  <c r="H784" i="18"/>
  <c r="I784" i="18" s="1"/>
  <c r="H791" i="18"/>
  <c r="I791" i="18" s="1"/>
  <c r="H795" i="18"/>
  <c r="I795" i="18" s="1"/>
  <c r="H800" i="18"/>
  <c r="I800" i="18" s="1"/>
  <c r="H803" i="18"/>
  <c r="I803" i="18" s="1"/>
  <c r="H807" i="18"/>
  <c r="I807" i="18" s="1"/>
  <c r="H811" i="18"/>
  <c r="I811" i="18" s="1"/>
  <c r="H818" i="18"/>
  <c r="I818" i="18" s="1"/>
  <c r="H822" i="18"/>
  <c r="I822" i="18" s="1"/>
  <c r="H826" i="18"/>
  <c r="I826" i="18" s="1"/>
  <c r="H830" i="18"/>
  <c r="I830" i="18" s="1"/>
  <c r="H835" i="18"/>
  <c r="I835" i="18" s="1"/>
  <c r="H843" i="18"/>
  <c r="I843" i="18" s="1"/>
  <c r="H849" i="18"/>
  <c r="I849" i="18" s="1"/>
  <c r="H853" i="18"/>
  <c r="I853" i="18" s="1"/>
  <c r="H863" i="18"/>
  <c r="I863" i="18" s="1"/>
  <c r="H867" i="18"/>
  <c r="I867" i="18" s="1"/>
  <c r="H871" i="18"/>
  <c r="I871" i="18" s="1"/>
  <c r="H875" i="18"/>
  <c r="I875" i="18" s="1"/>
  <c r="H880" i="18"/>
  <c r="I880" i="18" s="1"/>
  <c r="H884" i="18"/>
  <c r="I884" i="18" s="1"/>
  <c r="H888" i="18"/>
  <c r="I888" i="18" s="1"/>
  <c r="H892" i="18"/>
  <c r="I892" i="18" s="1"/>
  <c r="H896" i="18"/>
  <c r="I896" i="18" s="1"/>
  <c r="H900" i="18"/>
  <c r="I900" i="18" s="1"/>
  <c r="H904" i="18"/>
  <c r="I904" i="18" s="1"/>
  <c r="H908" i="18"/>
  <c r="I908" i="18" s="1"/>
  <c r="H911" i="18"/>
  <c r="I911" i="18" s="1"/>
  <c r="H915" i="18"/>
  <c r="I915" i="18" s="1"/>
  <c r="H919" i="18"/>
  <c r="I919" i="18" s="1"/>
  <c r="H925" i="18"/>
  <c r="H33" i="18"/>
  <c r="I33" i="18" s="1"/>
  <c r="H44" i="18"/>
  <c r="I44" i="18" s="1"/>
  <c r="H56" i="18"/>
  <c r="I56" i="18" s="1"/>
  <c r="H70" i="18"/>
  <c r="I70" i="18" s="1"/>
  <c r="H82" i="18"/>
  <c r="I82" i="18" s="1"/>
  <c r="H91" i="18"/>
  <c r="I91" i="18" s="1"/>
  <c r="H104" i="18"/>
  <c r="I104" i="18" s="1"/>
  <c r="H116" i="18"/>
  <c r="I116" i="18" s="1"/>
  <c r="H127" i="18"/>
  <c r="I127" i="18" s="1"/>
  <c r="H141" i="18"/>
  <c r="I141" i="18" s="1"/>
  <c r="H152" i="18"/>
  <c r="I152" i="18" s="1"/>
  <c r="H165" i="18"/>
  <c r="I165" i="18" s="1"/>
  <c r="H179" i="18"/>
  <c r="I179" i="18" s="1"/>
  <c r="H189" i="18"/>
  <c r="I189" i="18" s="1"/>
  <c r="H194" i="18"/>
  <c r="I194" i="18" s="1"/>
  <c r="H204" i="18"/>
  <c r="I204" i="18" s="1"/>
  <c r="H220" i="18"/>
  <c r="I220" i="18" s="1"/>
  <c r="H245" i="18"/>
  <c r="I245" i="18" s="1"/>
  <c r="H257" i="18"/>
  <c r="I257" i="18" s="1"/>
  <c r="H268" i="18"/>
  <c r="I268" i="18" s="1"/>
  <c r="H279" i="18"/>
  <c r="I279" i="18" s="1"/>
  <c r="H290" i="18"/>
  <c r="I290" i="18" s="1"/>
  <c r="H301" i="18"/>
  <c r="I301" i="18" s="1"/>
  <c r="H312" i="18"/>
  <c r="I312" i="18" s="1"/>
  <c r="H323" i="18"/>
  <c r="I323" i="18" s="1"/>
  <c r="H334" i="18"/>
  <c r="I334" i="18" s="1"/>
  <c r="H349" i="18"/>
  <c r="I349" i="18" s="1"/>
  <c r="H360" i="18"/>
  <c r="I360" i="18" s="1"/>
  <c r="H372" i="18"/>
  <c r="I372" i="18" s="1"/>
  <c r="H384" i="18"/>
  <c r="I384" i="18" s="1"/>
  <c r="H395" i="18"/>
  <c r="I395" i="18" s="1"/>
  <c r="H403" i="18"/>
  <c r="I403" i="18" s="1"/>
  <c r="H419" i="18"/>
  <c r="I419" i="18" s="1"/>
  <c r="H434" i="18"/>
  <c r="I434" i="18" s="1"/>
  <c r="H442" i="18"/>
  <c r="I442" i="18" s="1"/>
  <c r="H450" i="18"/>
  <c r="I450" i="18" s="1"/>
  <c r="H458" i="18"/>
  <c r="I458" i="18" s="1"/>
  <c r="H466" i="18"/>
  <c r="I466" i="18" s="1"/>
  <c r="H474" i="18"/>
  <c r="I474" i="18" s="1"/>
  <c r="H482" i="18"/>
  <c r="I482" i="18" s="1"/>
  <c r="H490" i="18"/>
  <c r="I490" i="18" s="1"/>
  <c r="H498" i="18"/>
  <c r="I498" i="18" s="1"/>
  <c r="H511" i="18"/>
  <c r="I511" i="18" s="1"/>
  <c r="H516" i="18"/>
  <c r="I516" i="18" s="1"/>
  <c r="H521" i="18"/>
  <c r="I521" i="18" s="1"/>
  <c r="H527" i="18"/>
  <c r="I527" i="18" s="1"/>
  <c r="H532" i="18"/>
  <c r="I532" i="18" s="1"/>
  <c r="H537" i="18"/>
  <c r="I537" i="18" s="1"/>
  <c r="H540" i="18"/>
  <c r="I540" i="18" s="1"/>
  <c r="H544" i="18"/>
  <c r="I544" i="18" s="1"/>
  <c r="H548" i="18"/>
  <c r="I548" i="18" s="1"/>
  <c r="H552" i="18"/>
  <c r="I552" i="18" s="1"/>
  <c r="H558" i="18"/>
  <c r="I558" i="18" s="1"/>
  <c r="H562" i="18"/>
  <c r="I562" i="18" s="1"/>
  <c r="H566" i="18"/>
  <c r="I566" i="18" s="1"/>
  <c r="H573" i="18"/>
  <c r="I573" i="18" s="1"/>
  <c r="H576" i="18"/>
  <c r="I576" i="18" s="1"/>
  <c r="H581" i="18"/>
  <c r="I581" i="18" s="1"/>
  <c r="H584" i="18"/>
  <c r="I584" i="18" s="1"/>
  <c r="H587" i="18"/>
  <c r="I587" i="18" s="1"/>
  <c r="H593" i="18"/>
  <c r="I593" i="18" s="1"/>
  <c r="H597" i="18"/>
  <c r="I597" i="18" s="1"/>
  <c r="H601" i="18"/>
  <c r="I601" i="18" s="1"/>
  <c r="H605" i="18"/>
  <c r="I605" i="18" s="1"/>
  <c r="H612" i="18"/>
  <c r="I612" i="18" s="1"/>
  <c r="H614" i="18"/>
  <c r="I614" i="18" s="1"/>
  <c r="H621" i="18"/>
  <c r="I621" i="18" s="1"/>
  <c r="H625" i="18"/>
  <c r="I625" i="18" s="1"/>
  <c r="H628" i="18"/>
  <c r="I628" i="18" s="1"/>
  <c r="H631" i="18"/>
  <c r="I631" i="18" s="1"/>
  <c r="H634" i="18"/>
  <c r="I634" i="18" s="1"/>
  <c r="H643" i="18"/>
  <c r="I643" i="18" s="1"/>
  <c r="H647" i="18"/>
  <c r="I647" i="18" s="1"/>
  <c r="H653" i="18"/>
  <c r="I653" i="18" s="1"/>
  <c r="H657" i="18"/>
  <c r="I657" i="18" s="1"/>
  <c r="H661" i="18"/>
  <c r="I661" i="18" s="1"/>
  <c r="H664" i="18"/>
  <c r="I664" i="18" s="1"/>
  <c r="H670" i="18"/>
  <c r="I670" i="18" s="1"/>
  <c r="H674" i="18"/>
  <c r="I674" i="18" s="1"/>
  <c r="H678" i="18"/>
  <c r="I678" i="18" s="1"/>
  <c r="H683" i="18"/>
  <c r="I683" i="18" s="1"/>
  <c r="H519" i="18"/>
  <c r="I519" i="18" s="1"/>
  <c r="H539" i="18"/>
  <c r="I539" i="18" s="1"/>
  <c r="H572" i="18"/>
  <c r="I572" i="18" s="1"/>
  <c r="H578" i="18"/>
  <c r="I578" i="18" s="1"/>
  <c r="H585" i="18"/>
  <c r="I585" i="18" s="1"/>
  <c r="H603" i="18"/>
  <c r="I603" i="18" s="1"/>
  <c r="H623" i="18"/>
  <c r="I623" i="18" s="1"/>
  <c r="H633" i="18"/>
  <c r="I633" i="18" s="1"/>
  <c r="H645" i="18"/>
  <c r="I645" i="18" s="1"/>
  <c r="H659" i="18"/>
  <c r="I659" i="18" s="1"/>
  <c r="H681" i="18"/>
  <c r="I681" i="18" s="1"/>
  <c r="H691" i="18"/>
  <c r="I691" i="18" s="1"/>
  <c r="H699" i="18"/>
  <c r="I699" i="18" s="1"/>
  <c r="H711" i="18"/>
  <c r="I711" i="18" s="1"/>
  <c r="H720" i="18"/>
  <c r="I720" i="18" s="1"/>
  <c r="H728" i="18"/>
  <c r="I728" i="18" s="1"/>
  <c r="H740" i="18"/>
  <c r="I740" i="18" s="1"/>
  <c r="H747" i="18"/>
  <c r="I747" i="18" s="1"/>
  <c r="H757" i="18"/>
  <c r="I757" i="18" s="1"/>
  <c r="H765" i="18"/>
  <c r="I765" i="18" s="1"/>
  <c r="H773" i="18"/>
  <c r="I773" i="18" s="1"/>
  <c r="H781" i="18"/>
  <c r="I781" i="18" s="1"/>
  <c r="H792" i="18"/>
  <c r="I792" i="18" s="1"/>
  <c r="H808" i="18"/>
  <c r="I808" i="18" s="1"/>
  <c r="H819" i="18"/>
  <c r="I819" i="18" s="1"/>
  <c r="H827" i="18"/>
  <c r="I827" i="18" s="1"/>
  <c r="H836" i="18"/>
  <c r="I836" i="18" s="1"/>
  <c r="H844" i="18"/>
  <c r="I844" i="18" s="1"/>
  <c r="H860" i="18"/>
  <c r="I860" i="18" s="1"/>
  <c r="H868" i="18"/>
  <c r="I868" i="18" s="1"/>
  <c r="H885" i="18"/>
  <c r="I885" i="18" s="1"/>
  <c r="H893" i="18"/>
  <c r="I893" i="18" s="1"/>
  <c r="H901" i="18"/>
  <c r="I901" i="18" s="1"/>
  <c r="H916" i="18"/>
  <c r="I916" i="18" s="1"/>
  <c r="H923" i="18"/>
  <c r="H502" i="18"/>
  <c r="I502" i="18" s="1"/>
  <c r="H524" i="18"/>
  <c r="I524" i="18" s="1"/>
  <c r="H542" i="18"/>
  <c r="I542" i="18" s="1"/>
  <c r="H560" i="18"/>
  <c r="I560" i="18" s="1"/>
  <c r="H583" i="18"/>
  <c r="I583" i="18" s="1"/>
  <c r="H589" i="18"/>
  <c r="I589" i="18" s="1"/>
  <c r="H607" i="18"/>
  <c r="I607" i="18" s="1"/>
  <c r="H616" i="18"/>
  <c r="I616" i="18" s="1"/>
  <c r="H627" i="18"/>
  <c r="I627" i="18" s="1"/>
  <c r="H663" i="18"/>
  <c r="I663" i="18" s="1"/>
  <c r="H668" i="18"/>
  <c r="I668" i="18" s="1"/>
  <c r="H685" i="18"/>
  <c r="I685" i="18" s="1"/>
  <c r="H693" i="18"/>
  <c r="I693" i="18" s="1"/>
  <c r="H701" i="18"/>
  <c r="I701" i="18" s="1"/>
  <c r="H706" i="18"/>
  <c r="I706" i="18" s="1"/>
  <c r="H713" i="18"/>
  <c r="I713" i="18" s="1"/>
  <c r="H722" i="18"/>
  <c r="I722" i="18" s="1"/>
  <c r="H730" i="18"/>
  <c r="I730" i="18" s="1"/>
  <c r="H742" i="18"/>
  <c r="I742" i="18" s="1"/>
  <c r="H749" i="18"/>
  <c r="I749" i="18" s="1"/>
  <c r="H759" i="18"/>
  <c r="I759" i="18" s="1"/>
  <c r="H767" i="18"/>
  <c r="I767" i="18" s="1"/>
  <c r="H775" i="18"/>
  <c r="I775" i="18" s="1"/>
  <c r="H783" i="18"/>
  <c r="I783" i="18" s="1"/>
  <c r="H794" i="18"/>
  <c r="I794" i="18" s="1"/>
  <c r="H802" i="18"/>
  <c r="I802" i="18" s="1"/>
  <c r="H810" i="18"/>
  <c r="I810" i="18" s="1"/>
  <c r="H821" i="18"/>
  <c r="I821" i="18" s="1"/>
  <c r="H829" i="18"/>
  <c r="I829" i="18" s="1"/>
  <c r="H839" i="18"/>
  <c r="I839" i="18" s="1"/>
  <c r="H846" i="18"/>
  <c r="I846" i="18" s="1"/>
  <c r="H862" i="18"/>
  <c r="I862" i="18" s="1"/>
  <c r="H870" i="18"/>
  <c r="I870" i="18" s="1"/>
  <c r="H879" i="18"/>
  <c r="I879" i="18" s="1"/>
  <c r="H887" i="18"/>
  <c r="I887" i="18" s="1"/>
  <c r="H895" i="18"/>
  <c r="I895" i="18" s="1"/>
  <c r="H903" i="18"/>
  <c r="I903" i="18" s="1"/>
  <c r="H910" i="18"/>
  <c r="I910" i="18" s="1"/>
  <c r="H918" i="18"/>
  <c r="I918" i="18" s="1"/>
  <c r="H508" i="18"/>
  <c r="I508" i="18" s="1"/>
  <c r="H529" i="18"/>
  <c r="I529" i="18" s="1"/>
  <c r="H546" i="18"/>
  <c r="I546" i="18" s="1"/>
  <c r="H564" i="18"/>
  <c r="I564" i="18" s="1"/>
  <c r="H575" i="18"/>
  <c r="I575" i="18" s="1"/>
  <c r="H595" i="18"/>
  <c r="I595" i="18" s="1"/>
  <c r="H648" i="18"/>
  <c r="I648" i="18" s="1"/>
  <c r="H672" i="18"/>
  <c r="I672" i="18" s="1"/>
  <c r="H687" i="18"/>
  <c r="I687" i="18" s="1"/>
  <c r="H695" i="18"/>
  <c r="I695" i="18" s="1"/>
  <c r="H708" i="18"/>
  <c r="I708" i="18" s="1"/>
  <c r="H715" i="18"/>
  <c r="I715" i="18" s="1"/>
  <c r="H724" i="18"/>
  <c r="I724" i="18" s="1"/>
  <c r="H732" i="18"/>
  <c r="I732" i="18" s="1"/>
  <c r="H744" i="18"/>
  <c r="I744" i="18" s="1"/>
  <c r="H751" i="18"/>
  <c r="I751" i="18" s="1"/>
  <c r="H761" i="18"/>
  <c r="I761" i="18" s="1"/>
  <c r="H769" i="18"/>
  <c r="I769" i="18" s="1"/>
  <c r="H777" i="18"/>
  <c r="I777" i="18" s="1"/>
  <c r="H785" i="18"/>
  <c r="I785" i="18" s="1"/>
  <c r="H796" i="18"/>
  <c r="I796" i="18" s="1"/>
  <c r="H804" i="18"/>
  <c r="I804" i="18" s="1"/>
  <c r="H815" i="18"/>
  <c r="I815" i="18" s="1"/>
  <c r="H823" i="18"/>
  <c r="I823" i="18" s="1"/>
  <c r="H831" i="18"/>
  <c r="I831" i="18" s="1"/>
  <c r="H840" i="18"/>
  <c r="I840" i="18" s="1"/>
  <c r="H864" i="18"/>
  <c r="I864" i="18" s="1"/>
  <c r="H872" i="18"/>
  <c r="I872" i="18" s="1"/>
  <c r="H881" i="18"/>
  <c r="I881" i="18" s="1"/>
  <c r="H889" i="18"/>
  <c r="I889" i="18" s="1"/>
  <c r="H897" i="18"/>
  <c r="I897" i="18" s="1"/>
  <c r="H905" i="18"/>
  <c r="I905" i="18" s="1"/>
  <c r="H912" i="18"/>
  <c r="I912" i="18" s="1"/>
  <c r="H922" i="18"/>
  <c r="I922" i="18" s="1"/>
  <c r="H513" i="18"/>
  <c r="I513" i="18" s="1"/>
  <c r="H535" i="18"/>
  <c r="I535" i="18" s="1"/>
  <c r="H550" i="18"/>
  <c r="I550" i="18" s="1"/>
  <c r="H568" i="18"/>
  <c r="I568" i="18" s="1"/>
  <c r="H599" i="18"/>
  <c r="I599" i="18" s="1"/>
  <c r="H613" i="18"/>
  <c r="I613" i="18" s="1"/>
  <c r="H619" i="18"/>
  <c r="I619" i="18" s="1"/>
  <c r="H635" i="18"/>
  <c r="I635" i="18" s="1"/>
  <c r="H641" i="18"/>
  <c r="I641" i="18" s="1"/>
  <c r="H655" i="18"/>
  <c r="I655" i="18" s="1"/>
  <c r="H676" i="18"/>
  <c r="I676" i="18" s="1"/>
  <c r="H689" i="18"/>
  <c r="I689" i="18" s="1"/>
  <c r="H697" i="18"/>
  <c r="I697" i="18" s="1"/>
  <c r="H717" i="18"/>
  <c r="I717" i="18" s="1"/>
  <c r="H726" i="18"/>
  <c r="I726" i="18" s="1"/>
  <c r="H734" i="18"/>
  <c r="I734" i="18" s="1"/>
  <c r="H753" i="18"/>
  <c r="I753" i="18" s="1"/>
  <c r="H763" i="18"/>
  <c r="I763" i="18" s="1"/>
  <c r="H771" i="18"/>
  <c r="I771" i="18" s="1"/>
  <c r="H779" i="18"/>
  <c r="I779" i="18" s="1"/>
  <c r="H790" i="18"/>
  <c r="I790" i="18" s="1"/>
  <c r="H798" i="18"/>
  <c r="I798" i="18" s="1"/>
  <c r="H806" i="18"/>
  <c r="I806" i="18" s="1"/>
  <c r="H817" i="18"/>
  <c r="I817" i="18" s="1"/>
  <c r="H825" i="18"/>
  <c r="I825" i="18" s="1"/>
  <c r="H834" i="18"/>
  <c r="I834" i="18" s="1"/>
  <c r="H842" i="18"/>
  <c r="I842" i="18" s="1"/>
  <c r="H852" i="18"/>
  <c r="I852" i="18" s="1"/>
  <c r="H866" i="18"/>
  <c r="I866" i="18" s="1"/>
  <c r="H874" i="18"/>
  <c r="I874" i="18" s="1"/>
  <c r="H883" i="18"/>
  <c r="I883" i="18" s="1"/>
  <c r="H891" i="18"/>
  <c r="I891" i="18" s="1"/>
  <c r="H899" i="18"/>
  <c r="I899" i="18" s="1"/>
  <c r="H907" i="18"/>
  <c r="I907" i="18" s="1"/>
  <c r="H914" i="18"/>
  <c r="I914" i="18" s="1"/>
  <c r="H924" i="18"/>
  <c r="H926" i="18"/>
  <c r="H934" i="18"/>
  <c r="I934" i="18" s="1"/>
  <c r="H944" i="18"/>
  <c r="I944" i="18" s="1"/>
  <c r="H928" i="18"/>
  <c r="H929" i="18"/>
  <c r="H935" i="18"/>
  <c r="H942" i="18"/>
  <c r="H930" i="18"/>
  <c r="H938" i="18"/>
  <c r="H939" i="18"/>
  <c r="I939" i="18" s="1"/>
  <c r="H946" i="18"/>
  <c r="I946" i="18" s="1"/>
  <c r="H941" i="18"/>
  <c r="H951" i="18"/>
  <c r="H955" i="18"/>
  <c r="H967" i="18"/>
  <c r="I967" i="18" s="1"/>
  <c r="H963" i="18"/>
  <c r="I963" i="18" s="1"/>
  <c r="H20" i="18"/>
  <c r="I20" i="18" s="1"/>
  <c r="H927" i="18"/>
  <c r="H945" i="18"/>
  <c r="I945" i="18" s="1"/>
  <c r="H952" i="18"/>
  <c r="H956" i="18"/>
  <c r="H22" i="18"/>
  <c r="I22" i="18" s="1"/>
  <c r="H17" i="18"/>
  <c r="I17" i="18" s="1"/>
  <c r="H950" i="18"/>
  <c r="H953" i="18"/>
  <c r="H957" i="18"/>
  <c r="H968" i="18"/>
  <c r="I968" i="18" s="1"/>
  <c r="H961" i="18"/>
  <c r="I961" i="18" s="1"/>
  <c r="H16" i="18"/>
  <c r="I16" i="18" s="1"/>
  <c r="H937" i="18"/>
  <c r="H954" i="18"/>
  <c r="H966" i="18"/>
  <c r="I966" i="18" s="1"/>
  <c r="H960" i="18"/>
  <c r="I960" i="18" s="1"/>
  <c r="H962" i="18"/>
  <c r="I962" i="18" s="1"/>
  <c r="H21" i="18"/>
  <c r="I21" i="18" s="1"/>
  <c r="AG5" i="16"/>
  <c r="AG4" i="16"/>
  <c r="L80" i="16"/>
  <c r="N39" i="16"/>
  <c r="U40" i="16"/>
  <c r="U39" i="16" s="1"/>
  <c r="N99" i="16"/>
  <c r="U99" i="16" s="1"/>
  <c r="U80" i="16" s="1"/>
  <c r="H859" i="18"/>
  <c r="I859" i="18" s="1"/>
  <c r="P263" i="16"/>
  <c r="N263" i="16"/>
  <c r="W263" i="16" s="1"/>
  <c r="W256" i="16" s="1"/>
  <c r="H854" i="18"/>
  <c r="I854" i="18" s="1"/>
  <c r="W12" i="16"/>
  <c r="N109" i="16"/>
  <c r="U109" i="16" s="1"/>
  <c r="N490" i="16"/>
  <c r="U490" i="16" s="1"/>
  <c r="N452" i="16"/>
  <c r="U452" i="16" s="1"/>
  <c r="N188" i="16"/>
  <c r="N583" i="16"/>
  <c r="AC5" i="16"/>
  <c r="AC4" i="16"/>
  <c r="I929" i="18" l="1"/>
  <c r="I926" i="18"/>
  <c r="D46" i="26"/>
  <c r="I24" i="18"/>
  <c r="I650" i="18"/>
  <c r="D32" i="26" s="1"/>
  <c r="AT32" i="26" s="1"/>
  <c r="I176" i="18"/>
  <c r="D25" i="26" s="1"/>
  <c r="L25" i="26" s="1"/>
  <c r="I242" i="18"/>
  <c r="D26" i="26" s="1"/>
  <c r="N26" i="26" s="1"/>
  <c r="I592" i="18"/>
  <c r="D30" i="26" s="1"/>
  <c r="F30" i="26" s="1"/>
  <c r="I554" i="18"/>
  <c r="D29" i="26" s="1"/>
  <c r="AF29" i="26" s="1"/>
  <c r="I928" i="18"/>
  <c r="I954" i="18"/>
  <c r="F24" i="26"/>
  <c r="N24" i="26"/>
  <c r="V24" i="26"/>
  <c r="H24" i="26"/>
  <c r="P24" i="26"/>
  <c r="R24" i="26"/>
  <c r="X24" i="26"/>
  <c r="T24" i="26"/>
  <c r="J24" i="26"/>
  <c r="F942" i="18"/>
  <c r="I942" i="18" s="1"/>
  <c r="F957" i="18"/>
  <c r="I957" i="18" s="1"/>
  <c r="I965" i="18"/>
  <c r="D42" i="26" s="1"/>
  <c r="I788" i="18"/>
  <c r="D34" i="26" s="1"/>
  <c r="I813" i="18"/>
  <c r="D35" i="26" s="1"/>
  <c r="I877" i="18"/>
  <c r="D37" i="26" s="1"/>
  <c r="I60" i="18"/>
  <c r="D21" i="26" s="1"/>
  <c r="I37" i="18"/>
  <c r="D20" i="26" s="1"/>
  <c r="V4" i="16"/>
  <c r="V5" i="16"/>
  <c r="I930" i="18"/>
  <c r="I848" i="18"/>
  <c r="D36" i="26" s="1"/>
  <c r="I755" i="18"/>
  <c r="D33" i="26" s="1"/>
  <c r="I145" i="18"/>
  <c r="D23" i="26" s="1"/>
  <c r="U436" i="16"/>
  <c r="U426" i="16" s="1"/>
  <c r="N426" i="16"/>
  <c r="P256" i="16"/>
  <c r="U15" i="16"/>
  <c r="U12" i="16" s="1"/>
  <c r="N12" i="16"/>
  <c r="I924" i="18"/>
  <c r="I506" i="18"/>
  <c r="D28" i="26" s="1"/>
  <c r="F953" i="18"/>
  <c r="F956" i="18"/>
  <c r="I956" i="18" s="1"/>
  <c r="F941" i="18"/>
  <c r="I941" i="18" s="1"/>
  <c r="F952" i="18"/>
  <c r="I952" i="18" s="1"/>
  <c r="F951" i="18"/>
  <c r="I951" i="18" s="1"/>
  <c r="N80" i="16"/>
  <c r="O5" i="16"/>
  <c r="F938" i="18" s="1"/>
  <c r="I938" i="18" s="1"/>
  <c r="O4" i="16"/>
  <c r="I619" i="7"/>
  <c r="I959" i="18"/>
  <c r="D41" i="26" s="1"/>
  <c r="AZ41" i="26" s="1"/>
  <c r="BA41" i="26" s="1"/>
  <c r="I15" i="18"/>
  <c r="D18" i="26" s="1"/>
  <c r="I953" i="18"/>
  <c r="I610" i="18"/>
  <c r="D31" i="26" s="1"/>
  <c r="I382" i="18"/>
  <c r="D27" i="26" s="1"/>
  <c r="I138" i="18"/>
  <c r="D22" i="26" s="1"/>
  <c r="F923" i="18"/>
  <c r="I923" i="18" s="1"/>
  <c r="C615" i="7"/>
  <c r="B623" i="7" s="1"/>
  <c r="I955" i="18"/>
  <c r="F925" i="18"/>
  <c r="I925" i="18" s="1"/>
  <c r="U459" i="16"/>
  <c r="U455" i="16" s="1"/>
  <c r="N455" i="16"/>
  <c r="U259" i="16"/>
  <c r="U256" i="16" s="1"/>
  <c r="N256" i="16"/>
  <c r="F935" i="18"/>
  <c r="I935" i="18" s="1"/>
  <c r="K4" i="16"/>
  <c r="U486" i="16"/>
  <c r="U479" i="16" s="1"/>
  <c r="N479" i="16"/>
  <c r="I927" i="18"/>
  <c r="AH32" i="26" l="1"/>
  <c r="AH30" i="26"/>
  <c r="D19" i="26"/>
  <c r="R19" i="26" s="1"/>
  <c r="AR32" i="26"/>
  <c r="N25" i="26"/>
  <c r="AY26" i="26"/>
  <c r="AD25" i="26"/>
  <c r="AP26" i="26"/>
  <c r="F26" i="26"/>
  <c r="F29" i="26"/>
  <c r="AX26" i="26"/>
  <c r="AN26" i="26"/>
  <c r="J26" i="26"/>
  <c r="AF26" i="26"/>
  <c r="AR26" i="26"/>
  <c r="AL26" i="26"/>
  <c r="AB26" i="26"/>
  <c r="AJ26" i="26"/>
  <c r="AH26" i="26"/>
  <c r="P26" i="26"/>
  <c r="AL32" i="26"/>
  <c r="AX32" i="26"/>
  <c r="AR30" i="26"/>
  <c r="AX25" i="26"/>
  <c r="P32" i="26"/>
  <c r="H32" i="26"/>
  <c r="AN32" i="26"/>
  <c r="N32" i="26"/>
  <c r="AV32" i="26"/>
  <c r="AV25" i="26"/>
  <c r="AF25" i="26"/>
  <c r="AL25" i="26"/>
  <c r="AP25" i="26"/>
  <c r="H25" i="26"/>
  <c r="V25" i="26"/>
  <c r="J25" i="26"/>
  <c r="X25" i="26"/>
  <c r="P25" i="26"/>
  <c r="Z25" i="26"/>
  <c r="AT25" i="26"/>
  <c r="AN25" i="26"/>
  <c r="AH25" i="26"/>
  <c r="R25" i="26"/>
  <c r="AJ25" i="26"/>
  <c r="T30" i="26"/>
  <c r="V30" i="26"/>
  <c r="T25" i="26"/>
  <c r="AZ25" i="26"/>
  <c r="F25" i="26"/>
  <c r="AR25" i="26"/>
  <c r="J32" i="26"/>
  <c r="F32" i="26"/>
  <c r="T32" i="26"/>
  <c r="V32" i="26"/>
  <c r="AP32" i="26"/>
  <c r="AJ32" i="26"/>
  <c r="L32" i="26"/>
  <c r="AB32" i="26"/>
  <c r="AB30" i="26"/>
  <c r="AV30" i="26"/>
  <c r="J30" i="26"/>
  <c r="AT30" i="26"/>
  <c r="I921" i="18"/>
  <c r="D38" i="26" s="1"/>
  <c r="Z30" i="26"/>
  <c r="AN30" i="26"/>
  <c r="AX30" i="26"/>
  <c r="P30" i="26"/>
  <c r="AZ32" i="26"/>
  <c r="AF32" i="26"/>
  <c r="Z32" i="26"/>
  <c r="AD32" i="26"/>
  <c r="R32" i="26"/>
  <c r="X32" i="26"/>
  <c r="AD30" i="26"/>
  <c r="N30" i="26"/>
  <c r="AJ30" i="26"/>
  <c r="AD29" i="26"/>
  <c r="AH29" i="26" s="1"/>
  <c r="AG29" i="26" s="1"/>
  <c r="Z29" i="26"/>
  <c r="N19" i="26"/>
  <c r="Z26" i="26"/>
  <c r="AT26" i="26"/>
  <c r="X26" i="26"/>
  <c r="H26" i="26"/>
  <c r="V26" i="26"/>
  <c r="X29" i="26"/>
  <c r="X30" i="26"/>
  <c r="H30" i="26"/>
  <c r="AF30" i="26"/>
  <c r="AZ30" i="26"/>
  <c r="R29" i="26"/>
  <c r="AR29" i="26"/>
  <c r="N29" i="26"/>
  <c r="V29" i="26"/>
  <c r="P29" i="26"/>
  <c r="AN29" i="26"/>
  <c r="AB29" i="26"/>
  <c r="AP29" i="26"/>
  <c r="H29" i="26"/>
  <c r="AL29" i="26"/>
  <c r="T29" i="26"/>
  <c r="L29" i="26"/>
  <c r="AX29" i="26"/>
  <c r="J29" i="26"/>
  <c r="AV26" i="26"/>
  <c r="AD26" i="26"/>
  <c r="R26" i="26"/>
  <c r="T26" i="26"/>
  <c r="L26" i="26"/>
  <c r="AV29" i="26"/>
  <c r="AZ29" i="26"/>
  <c r="AJ29" i="26"/>
  <c r="AT29" i="26"/>
  <c r="AL30" i="26"/>
  <c r="L30" i="26"/>
  <c r="R30" i="26"/>
  <c r="AP30" i="26"/>
  <c r="BA24" i="26"/>
  <c r="BB24" i="26" s="1"/>
  <c r="V31" i="26"/>
  <c r="J31" i="26"/>
  <c r="H31" i="26"/>
  <c r="R31" i="26"/>
  <c r="X31" i="26"/>
  <c r="AZ31" i="26"/>
  <c r="AF31" i="26"/>
  <c r="N31" i="26"/>
  <c r="AJ31" i="26"/>
  <c r="AL31" i="26"/>
  <c r="AB31" i="26"/>
  <c r="AX31" i="26"/>
  <c r="AT31" i="26"/>
  <c r="AH31" i="26"/>
  <c r="AV31" i="26"/>
  <c r="AN31" i="26"/>
  <c r="Z31" i="26"/>
  <c r="F31" i="26"/>
  <c r="AD31" i="26"/>
  <c r="P31" i="26"/>
  <c r="AR31" i="26"/>
  <c r="L31" i="26"/>
  <c r="T31" i="26"/>
  <c r="L18" i="26"/>
  <c r="J18" i="26"/>
  <c r="F18" i="26"/>
  <c r="H18" i="26" s="1"/>
  <c r="P23" i="26"/>
  <c r="R23" i="26"/>
  <c r="Z23" i="26"/>
  <c r="AN23" i="26"/>
  <c r="AL23" i="26"/>
  <c r="AB23" i="26"/>
  <c r="AV23" i="26"/>
  <c r="AJ23" i="26"/>
  <c r="AX23" i="26"/>
  <c r="J23" i="26"/>
  <c r="AT23" i="26"/>
  <c r="AD23" i="26"/>
  <c r="AP23" i="26"/>
  <c r="T23" i="26"/>
  <c r="L23" i="26"/>
  <c r="AZ23" i="26"/>
  <c r="AR23" i="26"/>
  <c r="N23" i="26"/>
  <c r="V23" i="26"/>
  <c r="F23" i="26"/>
  <c r="AH23" i="26"/>
  <c r="H23" i="26"/>
  <c r="AB20" i="26"/>
  <c r="J20" i="26"/>
  <c r="AP20" i="26"/>
  <c r="AZ20" i="26"/>
  <c r="AF20" i="26"/>
  <c r="AJ20" i="26"/>
  <c r="R20" i="26"/>
  <c r="AL20" i="26"/>
  <c r="V20" i="26"/>
  <c r="H20" i="26"/>
  <c r="AV20" i="26"/>
  <c r="AX20" i="26"/>
  <c r="Z20" i="26"/>
  <c r="X20" i="26"/>
  <c r="F20" i="26"/>
  <c r="AD20" i="26"/>
  <c r="AR20" i="26"/>
  <c r="L20" i="26"/>
  <c r="T20" i="26"/>
  <c r="N20" i="26"/>
  <c r="AH20" i="26"/>
  <c r="AN20" i="26"/>
  <c r="AT20" i="26"/>
  <c r="R42" i="26"/>
  <c r="P42" i="26"/>
  <c r="V42" i="26"/>
  <c r="AV42" i="26"/>
  <c r="T42" i="26"/>
  <c r="AX42" i="26"/>
  <c r="AL33" i="26"/>
  <c r="AD33" i="26"/>
  <c r="AB33" i="26"/>
  <c r="AX33" i="26"/>
  <c r="N33" i="26"/>
  <c r="AT33" i="26"/>
  <c r="J33" i="26"/>
  <c r="AF33" i="26"/>
  <c r="AN33" i="26"/>
  <c r="H33" i="26"/>
  <c r="AI33" i="26"/>
  <c r="AZ33" i="26"/>
  <c r="AV33" i="26"/>
  <c r="Z33" i="26"/>
  <c r="V33" i="26"/>
  <c r="X33" i="26"/>
  <c r="R33" i="26"/>
  <c r="AH33" i="26"/>
  <c r="L33" i="26"/>
  <c r="T33" i="26"/>
  <c r="AP33" i="26"/>
  <c r="P33" i="26"/>
  <c r="F33" i="26"/>
  <c r="AR33" i="26"/>
  <c r="J21" i="26"/>
  <c r="AZ21" i="26"/>
  <c r="AH21" i="26"/>
  <c r="AX21" i="26"/>
  <c r="H21" i="26"/>
  <c r="AB21" i="26"/>
  <c r="AR21" i="26"/>
  <c r="X21" i="26"/>
  <c r="AV21" i="26"/>
  <c r="AL21" i="26"/>
  <c r="AF21" i="26"/>
  <c r="Z21" i="26"/>
  <c r="V21" i="26"/>
  <c r="AP21" i="26"/>
  <c r="AJ21" i="26"/>
  <c r="R21" i="26"/>
  <c r="F21" i="26"/>
  <c r="AD21" i="26"/>
  <c r="L21" i="26"/>
  <c r="AT21" i="26"/>
  <c r="AN21" i="26"/>
  <c r="N21" i="26"/>
  <c r="AF28" i="26"/>
  <c r="AN28" i="26"/>
  <c r="X28" i="26"/>
  <c r="AJ28" i="26"/>
  <c r="AV28" i="26"/>
  <c r="AP28" i="26"/>
  <c r="AH28" i="26"/>
  <c r="AB28" i="26"/>
  <c r="AT28" i="26"/>
  <c r="L28" i="26"/>
  <c r="N28" i="26"/>
  <c r="AY28" i="26"/>
  <c r="J28" i="26"/>
  <c r="AX28" i="26"/>
  <c r="F28" i="26"/>
  <c r="P28" i="26"/>
  <c r="H28" i="26"/>
  <c r="AD28" i="26"/>
  <c r="V28" i="26"/>
  <c r="Z28" i="26"/>
  <c r="R28" i="26"/>
  <c r="AR28" i="26"/>
  <c r="AL28" i="26"/>
  <c r="T28" i="26"/>
  <c r="L36" i="26"/>
  <c r="X36" i="26"/>
  <c r="N36" i="26"/>
  <c r="AB36" i="26"/>
  <c r="AH36" i="26"/>
  <c r="AF36" i="26"/>
  <c r="T36" i="26"/>
  <c r="H36" i="26"/>
  <c r="AX36" i="26"/>
  <c r="F36" i="26"/>
  <c r="AP36" i="26"/>
  <c r="R36" i="26"/>
  <c r="AZ36" i="26"/>
  <c r="Z36" i="26"/>
  <c r="AR36" i="26"/>
  <c r="AN36" i="26"/>
  <c r="P36" i="26"/>
  <c r="V36" i="26"/>
  <c r="J36" i="26"/>
  <c r="AD36" i="26"/>
  <c r="AL36" i="26"/>
  <c r="AJ36" i="26"/>
  <c r="AV36" i="26"/>
  <c r="AZ37" i="26"/>
  <c r="AV37" i="26"/>
  <c r="AX37" i="26" s="1"/>
  <c r="P37" i="26"/>
  <c r="T37" i="26"/>
  <c r="R37" i="26"/>
  <c r="V37" i="26"/>
  <c r="T4" i="16"/>
  <c r="T5" i="16"/>
  <c r="AT34" i="26"/>
  <c r="AX34" i="26"/>
  <c r="AJ34" i="26"/>
  <c r="AR34" i="26"/>
  <c r="L34" i="26"/>
  <c r="N34" i="26"/>
  <c r="J34" i="26"/>
  <c r="P34" i="26"/>
  <c r="T34" i="26"/>
  <c r="AF34" i="26"/>
  <c r="F34" i="26"/>
  <c r="Z34" i="26"/>
  <c r="X34" i="26"/>
  <c r="AV34" i="26"/>
  <c r="R34" i="26"/>
  <c r="V34" i="26"/>
  <c r="AD34" i="26"/>
  <c r="AB34" i="26"/>
  <c r="AZ34" i="26"/>
  <c r="AH34" i="26"/>
  <c r="AP34" i="26"/>
  <c r="AL34" i="26"/>
  <c r="H34" i="26"/>
  <c r="AH22" i="26"/>
  <c r="AT22" i="26"/>
  <c r="AL22" i="26"/>
  <c r="AJ22" i="26"/>
  <c r="Z22" i="26"/>
  <c r="R22" i="26"/>
  <c r="AN22" i="26"/>
  <c r="AF22" i="26"/>
  <c r="AD22" i="26"/>
  <c r="F22" i="26"/>
  <c r="AV22" i="26"/>
  <c r="AB22" i="26"/>
  <c r="N22" i="26"/>
  <c r="AZ22" i="26"/>
  <c r="J22" i="26"/>
  <c r="AR22" i="26"/>
  <c r="P22" i="26"/>
  <c r="AP22" i="26"/>
  <c r="T22" i="26"/>
  <c r="L22" i="26"/>
  <c r="H22" i="26"/>
  <c r="AX22" i="26"/>
  <c r="F27" i="26"/>
  <c r="J27" i="26"/>
  <c r="AY27" i="26"/>
  <c r="H27" i="26"/>
  <c r="AN27" i="26"/>
  <c r="AJ27" i="26"/>
  <c r="AP27" i="26"/>
  <c r="Z27" i="26"/>
  <c r="AV27" i="26"/>
  <c r="L27" i="26"/>
  <c r="AR27" i="26"/>
  <c r="AF27" i="26"/>
  <c r="T27" i="26"/>
  <c r="X27" i="26"/>
  <c r="AH27" i="26"/>
  <c r="P27" i="26"/>
  <c r="AX27" i="26"/>
  <c r="AT27" i="26"/>
  <c r="AB27" i="26"/>
  <c r="AL27" i="26"/>
  <c r="AD27" i="26"/>
  <c r="N27" i="26"/>
  <c r="V27" i="26"/>
  <c r="R27" i="26"/>
  <c r="M4" i="16"/>
  <c r="F950" i="18" s="1"/>
  <c r="I950" i="18" s="1"/>
  <c r="I948" i="18" s="1"/>
  <c r="D40" i="26" s="1"/>
  <c r="M5" i="16"/>
  <c r="F937" i="18" s="1"/>
  <c r="I937" i="18" s="1"/>
  <c r="I932" i="18" s="1"/>
  <c r="R35" i="26"/>
  <c r="AF35" i="26"/>
  <c r="T35" i="26"/>
  <c r="H35" i="26"/>
  <c r="N35" i="26"/>
  <c r="AZ35" i="26"/>
  <c r="P35" i="26"/>
  <c r="AX35" i="26"/>
  <c r="AR35" i="26"/>
  <c r="AV35" i="26"/>
  <c r="Z35" i="26"/>
  <c r="J35" i="26"/>
  <c r="AD35" i="26"/>
  <c r="AJ35" i="26"/>
  <c r="AL35" i="26"/>
  <c r="AN35" i="26"/>
  <c r="AB35" i="26"/>
  <c r="AT35" i="26"/>
  <c r="AH35" i="26"/>
  <c r="L35" i="26"/>
  <c r="X35" i="26"/>
  <c r="F35" i="26"/>
  <c r="V35" i="26"/>
  <c r="AP35" i="26"/>
  <c r="AX19" i="26" l="1"/>
  <c r="AD19" i="26"/>
  <c r="H19" i="26"/>
  <c r="H44" i="26" s="1"/>
  <c r="T19" i="26"/>
  <c r="AT19" i="26"/>
  <c r="Z19" i="26"/>
  <c r="AV19" i="26"/>
  <c r="AH19" i="26"/>
  <c r="AR19" i="26"/>
  <c r="AN19" i="26"/>
  <c r="AB19" i="26"/>
  <c r="P19" i="26"/>
  <c r="L19" i="26"/>
  <c r="L44" i="26" s="1"/>
  <c r="AJ19" i="26"/>
  <c r="J19" i="26"/>
  <c r="J44" i="26" s="1"/>
  <c r="AY19" i="26"/>
  <c r="AF19" i="26"/>
  <c r="V19" i="26"/>
  <c r="F19" i="26"/>
  <c r="X19" i="26"/>
  <c r="AP19" i="26"/>
  <c r="AL19" i="26"/>
  <c r="BC24" i="26"/>
  <c r="BD24" i="26" s="1"/>
  <c r="BA25" i="26"/>
  <c r="BB25" i="26" s="1"/>
  <c r="BA32" i="26"/>
  <c r="BC32" i="26" s="1"/>
  <c r="BA30" i="26"/>
  <c r="BB30" i="26" s="1"/>
  <c r="BA26" i="26"/>
  <c r="BB26" i="26" s="1"/>
  <c r="AN34" i="26"/>
  <c r="AM34" i="26" s="1"/>
  <c r="X23" i="26"/>
  <c r="BA23" i="26" s="1"/>
  <c r="BB23" i="26" s="1"/>
  <c r="N44" i="26"/>
  <c r="F44" i="26"/>
  <c r="P20" i="26"/>
  <c r="BA20" i="26" s="1"/>
  <c r="AP31" i="26"/>
  <c r="AO31" i="26" s="1"/>
  <c r="V22" i="26"/>
  <c r="BA22" i="26" s="1"/>
  <c r="D39" i="26"/>
  <c r="D44" i="26" s="1"/>
  <c r="I971" i="18"/>
  <c r="L13" i="18" s="1"/>
  <c r="BA33" i="26"/>
  <c r="AZ42" i="26"/>
  <c r="BA42" i="26" s="1"/>
  <c r="BA37" i="26"/>
  <c r="AV40" i="26"/>
  <c r="R40" i="26"/>
  <c r="P40" i="26"/>
  <c r="V40" i="26"/>
  <c r="T40" i="26"/>
  <c r="AX40" i="26"/>
  <c r="BA27" i="26"/>
  <c r="BA18" i="26"/>
  <c r="BA35" i="26"/>
  <c r="AT36" i="26"/>
  <c r="BA36" i="26" s="1"/>
  <c r="BA28" i="26"/>
  <c r="P21" i="26"/>
  <c r="BA21" i="26" s="1"/>
  <c r="V38" i="26"/>
  <c r="AX38" i="26"/>
  <c r="AH38" i="26"/>
  <c r="X38" i="26"/>
  <c r="AR38" i="26"/>
  <c r="Z38" i="26"/>
  <c r="AL38" i="26"/>
  <c r="AF38" i="26"/>
  <c r="T38" i="26"/>
  <c r="AT38" i="26"/>
  <c r="AB38" i="26"/>
  <c r="AJ38" i="26"/>
  <c r="AN38" i="26"/>
  <c r="AD38" i="26"/>
  <c r="AZ38" i="26"/>
  <c r="P38" i="26"/>
  <c r="AP38" i="26"/>
  <c r="R38" i="26"/>
  <c r="BA29" i="26"/>
  <c r="BC29" i="26" s="1"/>
  <c r="AR44" i="26" l="1"/>
  <c r="AQ44" i="26" s="1"/>
  <c r="AR46" i="26" s="1"/>
  <c r="AQ46" i="26" s="1"/>
  <c r="BA19" i="26"/>
  <c r="BB19" i="26" s="1"/>
  <c r="BC25" i="26"/>
  <c r="U22" i="26"/>
  <c r="BC30" i="26"/>
  <c r="BB32" i="26"/>
  <c r="BC26" i="26"/>
  <c r="BA31" i="26"/>
  <c r="BB31" i="26" s="1"/>
  <c r="BA34" i="26"/>
  <c r="BC34" i="26" s="1"/>
  <c r="BC23" i="26"/>
  <c r="AV38" i="26"/>
  <c r="BA38" i="26" s="1"/>
  <c r="AZ40" i="26"/>
  <c r="BA40" i="26" s="1"/>
  <c r="BC40" i="26" s="1"/>
  <c r="C29" i="26"/>
  <c r="C20" i="26"/>
  <c r="C25" i="26"/>
  <c r="D48" i="26"/>
  <c r="C41" i="26"/>
  <c r="C35" i="26"/>
  <c r="C31" i="26"/>
  <c r="C33" i="26"/>
  <c r="C34" i="26"/>
  <c r="C26" i="26"/>
  <c r="C23" i="26"/>
  <c r="C28" i="26"/>
  <c r="C38" i="26"/>
  <c r="C32" i="26"/>
  <c r="C36" i="26"/>
  <c r="C24" i="26"/>
  <c r="C18" i="26"/>
  <c r="C21" i="26"/>
  <c r="C37" i="26"/>
  <c r="C42" i="26"/>
  <c r="C27" i="26"/>
  <c r="C19" i="26"/>
  <c r="C22" i="26"/>
  <c r="C40" i="26"/>
  <c r="C30" i="26"/>
  <c r="K44" i="26"/>
  <c r="L46" i="26" s="1"/>
  <c r="M44" i="26"/>
  <c r="N46" i="26" s="1"/>
  <c r="E44" i="26"/>
  <c r="F46" i="26" s="1"/>
  <c r="E46" i="26" s="1"/>
  <c r="I44" i="26"/>
  <c r="J46" i="26" s="1"/>
  <c r="I46" i="26" s="1"/>
  <c r="G44" i="26"/>
  <c r="H46" i="26" s="1"/>
  <c r="BC28" i="26"/>
  <c r="BB28" i="26"/>
  <c r="BB33" i="26"/>
  <c r="BC33" i="26"/>
  <c r="BB36" i="26"/>
  <c r="BC36" i="26"/>
  <c r="BC27" i="26"/>
  <c r="BB27" i="26"/>
  <c r="BC37" i="26"/>
  <c r="BB37" i="26"/>
  <c r="BB35" i="26"/>
  <c r="BC35" i="26"/>
  <c r="BB22" i="26"/>
  <c r="BC22" i="26"/>
  <c r="AT44" i="26"/>
  <c r="BB18" i="26"/>
  <c r="BC18" i="26"/>
  <c r="BC20" i="26"/>
  <c r="BB20" i="26"/>
  <c r="BC21" i="26"/>
  <c r="BB21" i="26"/>
  <c r="BC42" i="26"/>
  <c r="BB42" i="26"/>
  <c r="AX39" i="26"/>
  <c r="AX44" i="26" s="1"/>
  <c r="AH39" i="26"/>
  <c r="AH44" i="26" s="1"/>
  <c r="AV39" i="26"/>
  <c r="V39" i="26"/>
  <c r="V44" i="26" s="1"/>
  <c r="Z39" i="26"/>
  <c r="Z44" i="26" s="1"/>
  <c r="R39" i="26"/>
  <c r="R44" i="26" s="1"/>
  <c r="AZ39" i="26"/>
  <c r="AN39" i="26"/>
  <c r="AN44" i="26" s="1"/>
  <c r="P39" i="26"/>
  <c r="P44" i="26" s="1"/>
  <c r="AD39" i="26"/>
  <c r="AD44" i="26" s="1"/>
  <c r="AF39" i="26"/>
  <c r="AF44" i="26" s="1"/>
  <c r="AJ39" i="26"/>
  <c r="AJ44" i="26" s="1"/>
  <c r="AI44" i="26" s="1"/>
  <c r="AJ46" i="26" s="1"/>
  <c r="AI46" i="26" s="1"/>
  <c r="AL39" i="26"/>
  <c r="AL44" i="26" s="1"/>
  <c r="AB39" i="26"/>
  <c r="AB44" i="26" s="1"/>
  <c r="X39" i="26"/>
  <c r="X44" i="26" s="1"/>
  <c r="T39" i="26"/>
  <c r="T44" i="26" s="1"/>
  <c r="C39" i="26"/>
  <c r="A973" i="18"/>
  <c r="BC19" i="26" l="1"/>
  <c r="BD19" i="26" s="1"/>
  <c r="BE19" i="26" s="1"/>
  <c r="L6" i="18"/>
  <c r="BB40" i="26"/>
  <c r="BC31" i="26"/>
  <c r="AR48" i="26"/>
  <c r="AQ48" i="26" s="1"/>
  <c r="AV44" i="26"/>
  <c r="AU44" i="26" s="1"/>
  <c r="AV46" i="26" s="1"/>
  <c r="AU46" i="26" s="1"/>
  <c r="J48" i="26"/>
  <c r="I48" i="26" s="1"/>
  <c r="AZ44" i="26"/>
  <c r="F48" i="26"/>
  <c r="E48" i="26" s="1"/>
  <c r="E50" i="26" s="1"/>
  <c r="AC44" i="26"/>
  <c r="AD46" i="26" s="1"/>
  <c r="AC46" i="26" s="1"/>
  <c r="AW44" i="26"/>
  <c r="AX46" i="26" s="1"/>
  <c r="AW46" i="26" s="1"/>
  <c r="AE44" i="26"/>
  <c r="AF46" i="26" s="1"/>
  <c r="AE46" i="26" s="1"/>
  <c r="AA44" i="26"/>
  <c r="AB46" i="26" s="1"/>
  <c r="AA46" i="26" s="1"/>
  <c r="AM44" i="26"/>
  <c r="AN46" i="26" s="1"/>
  <c r="AM46" i="26" s="1"/>
  <c r="U44" i="26"/>
  <c r="V46" i="26" s="1"/>
  <c r="U46" i="26" s="1"/>
  <c r="Q44" i="26"/>
  <c r="R46" i="26" s="1"/>
  <c r="Q46" i="26" s="1"/>
  <c r="AG44" i="26"/>
  <c r="AH46" i="26" s="1"/>
  <c r="AG46" i="26" s="1"/>
  <c r="M46" i="26"/>
  <c r="N48" i="26"/>
  <c r="M48" i="26" s="1"/>
  <c r="BB38" i="26"/>
  <c r="BC38" i="26"/>
  <c r="Y44" i="26"/>
  <c r="Z46" i="26" s="1"/>
  <c r="Y46" i="26" s="1"/>
  <c r="AP39" i="26"/>
  <c r="AK44" i="26"/>
  <c r="AL46" i="26" s="1"/>
  <c r="AK46" i="26" s="1"/>
  <c r="G46" i="26"/>
  <c r="H48" i="26"/>
  <c r="G48" i="26" s="1"/>
  <c r="L48" i="26"/>
  <c r="K48" i="26" s="1"/>
  <c r="K46" i="26"/>
  <c r="AS44" i="26"/>
  <c r="AT46" i="26" s="1"/>
  <c r="AS46" i="26" s="1"/>
  <c r="O44" i="26"/>
  <c r="P46" i="26" s="1"/>
  <c r="O46" i="26" s="1"/>
  <c r="S44" i="26"/>
  <c r="T46" i="26" s="1"/>
  <c r="S46" i="26" s="1"/>
  <c r="AJ48" i="26"/>
  <c r="AI48" i="26" s="1"/>
  <c r="W44" i="26"/>
  <c r="X46" i="26" s="1"/>
  <c r="W46" i="26" s="1"/>
  <c r="C44" i="26"/>
  <c r="D50" i="26"/>
  <c r="C46" i="26"/>
  <c r="F50" i="26"/>
  <c r="AT48" i="26" l="1"/>
  <c r="AS48" i="26" s="1"/>
  <c r="AL48" i="26"/>
  <c r="AK48" i="26" s="1"/>
  <c r="T48" i="26"/>
  <c r="S48" i="26" s="1"/>
  <c r="AX48" i="26"/>
  <c r="AW48" i="26" s="1"/>
  <c r="P48" i="26"/>
  <c r="O48" i="26" s="1"/>
  <c r="AY44" i="26"/>
  <c r="AZ46" i="26" s="1"/>
  <c r="AZ48" i="26" s="1"/>
  <c r="AY48" i="26" s="1"/>
  <c r="AH48" i="26"/>
  <c r="AG48" i="26" s="1"/>
  <c r="AV48" i="26"/>
  <c r="AU48" i="26" s="1"/>
  <c r="AN48" i="26"/>
  <c r="AM48" i="26" s="1"/>
  <c r="AF48" i="26"/>
  <c r="AE48" i="26" s="1"/>
  <c r="AD48" i="26"/>
  <c r="AC48" i="26" s="1"/>
  <c r="Z48" i="26"/>
  <c r="Y48" i="26" s="1"/>
  <c r="R48" i="26"/>
  <c r="Q48" i="26" s="1"/>
  <c r="V48" i="26"/>
  <c r="U48" i="26" s="1"/>
  <c r="AB48" i="26"/>
  <c r="AA48" i="26" s="1"/>
  <c r="BA39" i="26"/>
  <c r="AP44" i="26"/>
  <c r="X48" i="26"/>
  <c r="W48" i="26" s="1"/>
  <c r="C48" i="26"/>
  <c r="C50" i="26" s="1"/>
  <c r="H50" i="26"/>
  <c r="G50" i="26" s="1"/>
  <c r="AY46" i="26" l="1"/>
  <c r="C62" i="26"/>
  <c r="J50" i="26"/>
  <c r="L50" i="26" s="1"/>
  <c r="N50" i="26" s="1"/>
  <c r="AO44" i="26"/>
  <c r="AP46" i="26" s="1"/>
  <c r="AP48" i="26" s="1"/>
  <c r="BC39" i="26"/>
  <c r="BC44" i="26" s="1"/>
  <c r="BC50" i="26" s="1"/>
  <c r="BB39" i="26"/>
  <c r="BA44" i="26"/>
  <c r="K50" i="26" l="1"/>
  <c r="I50" i="26"/>
  <c r="AO48" i="26"/>
  <c r="C63" i="26"/>
  <c r="AO46" i="26"/>
  <c r="BA46" i="26"/>
  <c r="BA48" i="26" s="1"/>
  <c r="BA50" i="26" s="1"/>
  <c r="M50" i="26"/>
  <c r="P50" i="26"/>
  <c r="C64" i="26" l="1"/>
  <c r="C65" i="26" s="1"/>
  <c r="O50" i="26"/>
  <c r="R50" i="26"/>
  <c r="D62" i="26" l="1"/>
  <c r="D65" i="26"/>
  <c r="D64" i="26"/>
  <c r="D63" i="26"/>
  <c r="Q50" i="26"/>
  <c r="T50" i="26"/>
  <c r="S50" i="26" l="1"/>
  <c r="V50" i="26"/>
  <c r="U50" i="26" l="1"/>
  <c r="X50" i="26"/>
  <c r="W50" i="26" l="1"/>
  <c r="Z50" i="26"/>
  <c r="Y50" i="26" l="1"/>
  <c r="AB50" i="26"/>
  <c r="AA50" i="26" l="1"/>
  <c r="AD50" i="26"/>
  <c r="AC50" i="26" l="1"/>
  <c r="AF50" i="26"/>
  <c r="AE50" i="26" l="1"/>
  <c r="AH50" i="26"/>
  <c r="AG50" i="26" l="1"/>
  <c r="AJ50" i="26"/>
  <c r="AI50" i="26" l="1"/>
  <c r="AL50" i="26"/>
  <c r="AK50" i="26" l="1"/>
  <c r="AN50" i="26"/>
  <c r="AM50" i="26" l="1"/>
  <c r="AP50" i="26"/>
  <c r="AO50" i="26" l="1"/>
  <c r="AR50" i="26"/>
  <c r="AQ50" i="26" l="1"/>
  <c r="AT50" i="26"/>
  <c r="AS50" i="26" l="1"/>
  <c r="AV50" i="26"/>
  <c r="AU50" i="26" l="1"/>
  <c r="AX50" i="26"/>
  <c r="AW50" i="26" l="1"/>
  <c r="AZ50" i="26"/>
  <c r="AY50" i="26" s="1"/>
</calcChain>
</file>

<file path=xl/sharedStrings.xml><?xml version="1.0" encoding="utf-8"?>
<sst xmlns="http://schemas.openxmlformats.org/spreadsheetml/2006/main" count="16089" uniqueCount="3546">
  <si>
    <t xml:space="preserve"> </t>
  </si>
  <si>
    <t>RESUMO GERAL - ESQUADRIAS</t>
  </si>
  <si>
    <t>Especificações</t>
  </si>
  <si>
    <t>Tipo</t>
  </si>
  <si>
    <t>Material</t>
  </si>
  <si>
    <t>Dimensões</t>
  </si>
  <si>
    <t>Quantidade</t>
  </si>
  <si>
    <t>Área total</t>
  </si>
  <si>
    <t>PORTAS</t>
  </si>
  <si>
    <t>Porta com 2 folhas</t>
  </si>
  <si>
    <t>Abrir</t>
  </si>
  <si>
    <t>Vidro</t>
  </si>
  <si>
    <t>2,00 x 2,10</t>
  </si>
  <si>
    <t>Porta com 1 folha</t>
  </si>
  <si>
    <t>Madeira</t>
  </si>
  <si>
    <t>0,80 x 2,10</t>
  </si>
  <si>
    <t>0,90 x 2,10</t>
  </si>
  <si>
    <t>1,20 x 2,10</t>
  </si>
  <si>
    <t>1,60 x 2,10</t>
  </si>
  <si>
    <t>2,10 x 2,10</t>
  </si>
  <si>
    <t>A definir</t>
  </si>
  <si>
    <t>2,20 x 2,10</t>
  </si>
  <si>
    <t>Corta fogo</t>
  </si>
  <si>
    <t>1,00 x 2,10</t>
  </si>
  <si>
    <t>*</t>
  </si>
  <si>
    <t>PORTAS DO BANHEIROS</t>
  </si>
  <si>
    <t>Sanfonada</t>
  </si>
  <si>
    <t>PVC</t>
  </si>
  <si>
    <t>0,60 x 1,80</t>
  </si>
  <si>
    <t>0,90 x 1,80</t>
  </si>
  <si>
    <t>0,60 x 2,10</t>
  </si>
  <si>
    <t>JANELAS</t>
  </si>
  <si>
    <t>Janelas em geral</t>
  </si>
  <si>
    <t>Alumínio e vidro</t>
  </si>
  <si>
    <t>Ver projeto</t>
  </si>
  <si>
    <t>Janelas dos dutos de ventilação</t>
  </si>
  <si>
    <t>Fixo</t>
  </si>
  <si>
    <t>Metálica</t>
  </si>
  <si>
    <t>VIDROS</t>
  </si>
  <si>
    <t>Visor</t>
  </si>
  <si>
    <t>Divisórias de Vidros</t>
  </si>
  <si>
    <t>Tijolos de vidro</t>
  </si>
  <si>
    <t>GRADIL</t>
  </si>
  <si>
    <t>Abrigo de máquinas</t>
  </si>
  <si>
    <t>RESUMO DO LEVANTAMENTO</t>
  </si>
  <si>
    <t>1.0</t>
  </si>
  <si>
    <t>SUBSOLO - MATERNIDADE</t>
  </si>
  <si>
    <t>7.0</t>
  </si>
  <si>
    <t>PAVIMENTO TÉRREO - MATERNIDADE</t>
  </si>
  <si>
    <t>8.0</t>
  </si>
  <si>
    <t>2º PAVIMENTO - MATERNIDADE</t>
  </si>
  <si>
    <t>9.0</t>
  </si>
  <si>
    <t>3º PAVIMENTO - MATERNIDADE</t>
  </si>
  <si>
    <t>10.0</t>
  </si>
  <si>
    <t>4º PAVIMENTO - MATERNIDADE</t>
  </si>
  <si>
    <t>11.0</t>
  </si>
  <si>
    <t>5º PAVIMENTO - MATERNIDADE</t>
  </si>
  <si>
    <t>12.0</t>
  </si>
  <si>
    <t>6º PAVIMENTO - MATERNIDADE</t>
  </si>
  <si>
    <t>13.0</t>
  </si>
  <si>
    <t>7º PAVIMENTO - MATERNIDADE</t>
  </si>
  <si>
    <t>14.0</t>
  </si>
  <si>
    <t>8º PAVIMENTO - MATERNIDADE</t>
  </si>
  <si>
    <t>15.0</t>
  </si>
  <si>
    <t>9º PAVIMENTO - MATERNIDADE</t>
  </si>
  <si>
    <t>MEMÓRIA DE CÁCULO</t>
  </si>
  <si>
    <t>ITENS</t>
  </si>
  <si>
    <t>DESCRIMINAÇÃO</t>
  </si>
  <si>
    <t>COMP. (M)</t>
  </si>
  <si>
    <t>LARGURA (M)</t>
  </si>
  <si>
    <t>ALTURA (M)</t>
  </si>
  <si>
    <t>ÁREA (M²)</t>
  </si>
  <si>
    <t>VOLUME (M³)</t>
  </si>
  <si>
    <t>QUANTIDADE</t>
  </si>
  <si>
    <t>TOTAL</t>
  </si>
  <si>
    <t>PV 01</t>
  </si>
  <si>
    <t>Porta com 2 folhas de abrir (vidros)</t>
  </si>
  <si>
    <t>P 02</t>
  </si>
  <si>
    <t>Porta com 1 folha de abrir (sem especificações)</t>
  </si>
  <si>
    <t>P 03</t>
  </si>
  <si>
    <t>Porta com 1 folha de abrir - PNE (sem especificações)</t>
  </si>
  <si>
    <t>P 04</t>
  </si>
  <si>
    <t>Porta com 2 folhas de abrir (sem especificações)</t>
  </si>
  <si>
    <t>P 06</t>
  </si>
  <si>
    <t>PCF</t>
  </si>
  <si>
    <t>Porta corta-fogo com resistênia à 4 horas de fogo</t>
  </si>
  <si>
    <t>PC 01</t>
  </si>
  <si>
    <t>Porta com 1 folha - Câmaras de resfriamento</t>
  </si>
  <si>
    <t>PSB</t>
  </si>
  <si>
    <t>Porta com 1 folha sanfonada (sem especificações)</t>
  </si>
  <si>
    <t>PB 1</t>
  </si>
  <si>
    <t>PB PNE</t>
  </si>
  <si>
    <t>J 08</t>
  </si>
  <si>
    <t>(sem especificações)</t>
  </si>
  <si>
    <t>J 09</t>
  </si>
  <si>
    <t>J 11</t>
  </si>
  <si>
    <t>J 12</t>
  </si>
  <si>
    <t>J 13</t>
  </si>
  <si>
    <t>J 14</t>
  </si>
  <si>
    <t>J 16</t>
  </si>
  <si>
    <t>J 17</t>
  </si>
  <si>
    <t>J 18</t>
  </si>
  <si>
    <t>J 19</t>
  </si>
  <si>
    <t>J 20</t>
  </si>
  <si>
    <t>J 21</t>
  </si>
  <si>
    <t>J 22</t>
  </si>
  <si>
    <t>J 23</t>
  </si>
  <si>
    <t>J 24</t>
  </si>
  <si>
    <t>J 25</t>
  </si>
  <si>
    <t>J 27</t>
  </si>
  <si>
    <t>J 28</t>
  </si>
  <si>
    <t>J 29</t>
  </si>
  <si>
    <t>J 30</t>
  </si>
  <si>
    <t>J 31</t>
  </si>
  <si>
    <t>J 32</t>
  </si>
  <si>
    <t>J 33</t>
  </si>
  <si>
    <t>J 34</t>
  </si>
  <si>
    <t>J 69</t>
  </si>
  <si>
    <t>J 70</t>
  </si>
  <si>
    <t>J 71</t>
  </si>
  <si>
    <t>J 79</t>
  </si>
  <si>
    <t>Visor 1</t>
  </si>
  <si>
    <t>Nutricionista/Hall</t>
  </si>
  <si>
    <t>Nutricionista/Cozinha</t>
  </si>
  <si>
    <t>Nutricionista/Nutrição Enteral</t>
  </si>
  <si>
    <t>Visor 2</t>
  </si>
  <si>
    <t>Nutricionista/Chefia</t>
  </si>
  <si>
    <t>Visor 3</t>
  </si>
  <si>
    <t>Preparo de Lanches/Hall</t>
  </si>
  <si>
    <t>V1</t>
  </si>
  <si>
    <t>Estar Funcionários/Refeitório</t>
  </si>
  <si>
    <t>V2</t>
  </si>
  <si>
    <t>V3</t>
  </si>
  <si>
    <t>V4</t>
  </si>
  <si>
    <t>Estar Funcionários/Calçada</t>
  </si>
  <si>
    <t>V5</t>
  </si>
  <si>
    <t>2.0</t>
  </si>
  <si>
    <t>PAVIMENTO TÉRREO - ANEXO II - VELÓRIO</t>
  </si>
  <si>
    <t>3.0</t>
  </si>
  <si>
    <t>PAVIMENTO TÉRREO - ANEXO III - SUBESTAÇÃO</t>
  </si>
  <si>
    <t>4.0</t>
  </si>
  <si>
    <t>PAVIMENTO TÉRREO - ANEXO IV - CPN</t>
  </si>
  <si>
    <t>5.0</t>
  </si>
  <si>
    <t>PAVIMENTO TÉRREO - ANEXO V - BANCO DE LEITE E ALMOXARIFADO</t>
  </si>
  <si>
    <t>6.0</t>
  </si>
  <si>
    <t>PAVIMENTO TÉRREO - ANEXO VI - LIXEIRA</t>
  </si>
  <si>
    <t>PP 01</t>
  </si>
  <si>
    <t>PP 02</t>
  </si>
  <si>
    <t>PB 2</t>
  </si>
  <si>
    <t>JR1</t>
  </si>
  <si>
    <t>J 10</t>
  </si>
  <si>
    <t>J 36</t>
  </si>
  <si>
    <t>J 37</t>
  </si>
  <si>
    <t>J 87</t>
  </si>
  <si>
    <t>J 85</t>
  </si>
  <si>
    <t>P 05</t>
  </si>
  <si>
    <t>JPNE 1</t>
  </si>
  <si>
    <t>J 60</t>
  </si>
  <si>
    <t>J 61</t>
  </si>
  <si>
    <t>J 62</t>
  </si>
  <si>
    <t>JX1</t>
  </si>
  <si>
    <t>JX2</t>
  </si>
  <si>
    <t>JX3</t>
  </si>
  <si>
    <t>JX4</t>
  </si>
  <si>
    <t>J 98</t>
  </si>
  <si>
    <t>Espera/Galeria Interna</t>
  </si>
  <si>
    <t>Posto de Enfermagem/Corredor Secundário</t>
  </si>
  <si>
    <t>J 65</t>
  </si>
  <si>
    <t>J 72</t>
  </si>
  <si>
    <t xml:space="preserve"> Sala Conviv. Pac. Ucinca/Galeria Interna</t>
  </si>
  <si>
    <t>JX5</t>
  </si>
  <si>
    <t>JX6</t>
  </si>
  <si>
    <t>JX7</t>
  </si>
  <si>
    <t>JX8</t>
  </si>
  <si>
    <t>JX9</t>
  </si>
  <si>
    <t>JX10</t>
  </si>
  <si>
    <t>JX11</t>
  </si>
  <si>
    <t>J 49</t>
  </si>
  <si>
    <t>5º, 6º E 7º PAVIMENTO - MATERNIDADE</t>
  </si>
  <si>
    <t>J 40</t>
  </si>
  <si>
    <t>J 41</t>
  </si>
  <si>
    <t>J 88</t>
  </si>
  <si>
    <t>J 89</t>
  </si>
  <si>
    <t>J 90</t>
  </si>
  <si>
    <t>J 91</t>
  </si>
  <si>
    <t>J 92</t>
  </si>
  <si>
    <t>J 67</t>
  </si>
  <si>
    <t>J 99</t>
  </si>
  <si>
    <t>J 100</t>
  </si>
  <si>
    <t>Visor 4</t>
  </si>
  <si>
    <t>Same</t>
  </si>
  <si>
    <t>9º PAVIMENTO - HELIPONTO DA MATERNIDADE</t>
  </si>
  <si>
    <t>16.0</t>
  </si>
  <si>
    <t>ANEXOS</t>
  </si>
  <si>
    <t>Nº</t>
  </si>
  <si>
    <t>ESPECIFICAÇÃO</t>
  </si>
  <si>
    <t>TIPO</t>
  </si>
  <si>
    <t>TAMANHO</t>
  </si>
  <si>
    <t>ÁREA</t>
  </si>
  <si>
    <t>ÁREA TOTAL</t>
  </si>
  <si>
    <t xml:space="preserve">CPN </t>
  </si>
  <si>
    <t>P1</t>
  </si>
  <si>
    <t>PORTA EM ALUMINIO E VIDRO</t>
  </si>
  <si>
    <t>ABRIR ( 02 FOLHAS)</t>
  </si>
  <si>
    <t>1.60X2.50</t>
  </si>
  <si>
    <t>P2</t>
  </si>
  <si>
    <t>PORTA EM MADEIRA LISA</t>
  </si>
  <si>
    <t xml:space="preserve">ABRIR </t>
  </si>
  <si>
    <t>0.80X2.10</t>
  </si>
  <si>
    <t>P3</t>
  </si>
  <si>
    <t>CORRER</t>
  </si>
  <si>
    <t>1.10X2.10</t>
  </si>
  <si>
    <t>P4</t>
  </si>
  <si>
    <t>2.00X2.10</t>
  </si>
  <si>
    <t>P5</t>
  </si>
  <si>
    <t>P6</t>
  </si>
  <si>
    <t>ABRIR</t>
  </si>
  <si>
    <t>0.70X2.10</t>
  </si>
  <si>
    <t>P7</t>
  </si>
  <si>
    <t>0.60X2.10</t>
  </si>
  <si>
    <t>P8</t>
  </si>
  <si>
    <t>J1</t>
  </si>
  <si>
    <t>JANELA EM ALUMINIO E VIDRO</t>
  </si>
  <si>
    <t>CORRER (02FOLHAS)</t>
  </si>
  <si>
    <t>1.50X1.50X1.00</t>
  </si>
  <si>
    <t>J2</t>
  </si>
  <si>
    <t>0.70X2.00X0.50</t>
  </si>
  <si>
    <t>J3</t>
  </si>
  <si>
    <t>1.00X0.50X1.60</t>
  </si>
  <si>
    <t>J4</t>
  </si>
  <si>
    <t>0.80X0.80X1.30</t>
  </si>
  <si>
    <t>J5</t>
  </si>
  <si>
    <t>0.90X0.60X1.50</t>
  </si>
  <si>
    <t>J6</t>
  </si>
  <si>
    <t>1.20X1.10X1.00</t>
  </si>
  <si>
    <t>CAPELA ECUMÊNICA</t>
  </si>
  <si>
    <t>ALUMINIO</t>
  </si>
  <si>
    <t>1,74X103,86</t>
  </si>
  <si>
    <t>VELÓRIO</t>
  </si>
  <si>
    <t>VAI E VEM ( 02 FOLHAS)</t>
  </si>
  <si>
    <t>1.60X2.10</t>
  </si>
  <si>
    <t>0.90X2.10</t>
  </si>
  <si>
    <t>PORTA EM MADEIRA LISA COM BARRA DE APOIO</t>
  </si>
  <si>
    <t>PORTA EM ALUMINIO</t>
  </si>
  <si>
    <t>PORTA FRIGORÍFICA EM POLIURETANO</t>
  </si>
  <si>
    <t>1.00X2.10</t>
  </si>
  <si>
    <t>JANELA EM ALUMINIO E VIFRO</t>
  </si>
  <si>
    <t>CORRER ( 04 FOLHAS)</t>
  </si>
  <si>
    <t>3.35X1.10X1.00</t>
  </si>
  <si>
    <t>CORRER ( 08 FOLHAS)</t>
  </si>
  <si>
    <t>5.60X1.10X1.00</t>
  </si>
  <si>
    <t>PIVOTANTE ( 03 FOLHAS)</t>
  </si>
  <si>
    <t>1.60X0.50X1.60</t>
  </si>
  <si>
    <t>SUBSTAÇÃO</t>
  </si>
  <si>
    <t>PORTA EM ALUMINIO VENEZIANO</t>
  </si>
  <si>
    <t>0.90X2.50</t>
  </si>
  <si>
    <t>PORTA EM GRADE METALICA</t>
  </si>
  <si>
    <t>ABRIR ( 02 FOLHAS )</t>
  </si>
  <si>
    <t>2.00X2.50</t>
  </si>
  <si>
    <t>1.30X2.50</t>
  </si>
  <si>
    <t>GRADE</t>
  </si>
  <si>
    <t>G1</t>
  </si>
  <si>
    <t>CORRER ( 02 FOLHAS )</t>
  </si>
  <si>
    <t>1.90X2.50</t>
  </si>
  <si>
    <t>G2</t>
  </si>
  <si>
    <t>3.00X2.50</t>
  </si>
  <si>
    <t>G3</t>
  </si>
  <si>
    <t>4.50X2.50</t>
  </si>
  <si>
    <t>G4</t>
  </si>
  <si>
    <t>5.70X2.50</t>
  </si>
  <si>
    <t>BANCO DE LEITE</t>
  </si>
  <si>
    <t>VAI E VEM (02 FOLHAS)</t>
  </si>
  <si>
    <t>0.9X2.10</t>
  </si>
  <si>
    <t>CORRER (08 FOLHAS )</t>
  </si>
  <si>
    <t>6.40X1.00X1.10</t>
  </si>
  <si>
    <t>CORRER (04 FOLHAS )</t>
  </si>
  <si>
    <t>3.15X1.00X1.10</t>
  </si>
  <si>
    <t>2.50X1.00X1.10</t>
  </si>
  <si>
    <t>PIVOTANTE ( 03 FOHAS )</t>
  </si>
  <si>
    <t>2.30X0.50X1.60</t>
  </si>
  <si>
    <t>CORRER (02 FOLHAS )</t>
  </si>
  <si>
    <t>1.95X1.00X1.10</t>
  </si>
  <si>
    <t>CORRER ( 04 FOLHAS )</t>
  </si>
  <si>
    <t>4.00X1.00X1.10</t>
  </si>
  <si>
    <t>J7</t>
  </si>
  <si>
    <t>2.70X1.10X1.00</t>
  </si>
  <si>
    <t>J8</t>
  </si>
  <si>
    <t>2.25X1.00X1.10</t>
  </si>
  <si>
    <t>J9</t>
  </si>
  <si>
    <t>2.25X0.50X1.60</t>
  </si>
  <si>
    <t>J10</t>
  </si>
  <si>
    <t>4.10X1.10X1.00</t>
  </si>
  <si>
    <t>LIXEIRA</t>
  </si>
  <si>
    <t>PF1</t>
  </si>
  <si>
    <t>GOVERNO DO ESTADO DO PIAUÍ</t>
  </si>
  <si>
    <t>SECRETARIA DE ESTADO DA SAÚDE</t>
  </si>
  <si>
    <t>NÚCLEO DE INFRA-ESTRUTURA EM SAÚDE - NIS</t>
  </si>
  <si>
    <t>PLANILHA ORÇAMENTÁRIA</t>
  </si>
  <si>
    <r>
      <rPr>
        <b/>
        <sz val="12"/>
        <rFont val="Arial"/>
        <family val="2"/>
      </rPr>
      <t>Obra:</t>
    </r>
    <r>
      <rPr>
        <sz val="12"/>
        <rFont val="Arial"/>
        <family val="2"/>
      </rPr>
      <t xml:space="preserve"> Conclusão do Centro Integrado de Referência Médica de Picos</t>
    </r>
  </si>
  <si>
    <r>
      <rPr>
        <b/>
        <sz val="12"/>
        <rFont val="Arial"/>
        <family val="2"/>
      </rPr>
      <t xml:space="preserve">Município: </t>
    </r>
    <r>
      <rPr>
        <sz val="12"/>
        <rFont val="Arial"/>
        <family val="2"/>
      </rPr>
      <t>Picos - PI</t>
    </r>
  </si>
  <si>
    <r>
      <rPr>
        <b/>
        <sz val="12"/>
        <rFont val="Arial"/>
        <family val="2"/>
      </rPr>
      <t>Endereço:</t>
    </r>
    <r>
      <rPr>
        <sz val="12"/>
        <rFont val="Arial"/>
        <family val="2"/>
      </rPr>
      <t xml:space="preserve"> Zona Urbana</t>
    </r>
  </si>
  <si>
    <r>
      <t xml:space="preserve">Data Base: </t>
    </r>
    <r>
      <rPr>
        <sz val="12"/>
        <rFont val="Arial"/>
        <family val="2"/>
      </rPr>
      <t>Setembro/2016 (C/ Desoneração)</t>
    </r>
  </si>
  <si>
    <t>Item</t>
  </si>
  <si>
    <t>Referência</t>
  </si>
  <si>
    <t>Código</t>
  </si>
  <si>
    <t>Descrição</t>
  </si>
  <si>
    <t>Und</t>
  </si>
  <si>
    <t>Quant.</t>
  </si>
  <si>
    <t>Valor Unit</t>
  </si>
  <si>
    <t>Valor Unit com BDI</t>
  </si>
  <si>
    <t>Total</t>
  </si>
  <si>
    <t>TOTAL:</t>
  </si>
  <si>
    <t>1.00</t>
  </si>
  <si>
    <t>SERVIÇOS PRELIMINARES</t>
  </si>
  <si>
    <t>1.1</t>
  </si>
  <si>
    <t>Sinapi</t>
  </si>
  <si>
    <t>74209/001</t>
  </si>
  <si>
    <t>Placa da obra - 300 x 150</t>
  </si>
  <si>
    <t>m2</t>
  </si>
  <si>
    <t>1.2</t>
  </si>
  <si>
    <t>Orse</t>
  </si>
  <si>
    <t>I-5554</t>
  </si>
  <si>
    <t>Plotagens de Projetos</t>
  </si>
  <si>
    <t>und</t>
  </si>
  <si>
    <t>1.3</t>
  </si>
  <si>
    <t>Composição</t>
  </si>
  <si>
    <t>COMP-01</t>
  </si>
  <si>
    <t>Detalhamento Construtivos de Arquitetura, Estrutura e Instalações Ordinárias</t>
  </si>
  <si>
    <t>1.4</t>
  </si>
  <si>
    <t>COMP-02</t>
  </si>
  <si>
    <t>Elaboração de Projeto Executivo de Acessibilidade, Comunicação Visual e Acústica</t>
  </si>
  <si>
    <t>1.5</t>
  </si>
  <si>
    <t>COMP-03</t>
  </si>
  <si>
    <t>Elaboração de Projeto Executivo de Climatização</t>
  </si>
  <si>
    <t>1.6</t>
  </si>
  <si>
    <t>COMP-04</t>
  </si>
  <si>
    <t>Elaboração de PCMAT/PCMSO</t>
  </si>
  <si>
    <t>1.7</t>
  </si>
  <si>
    <t>73992/001</t>
  </si>
  <si>
    <t>Locacao convencional de obra, através de gabarito de tabuas corridas pontaletadas a cada 1,50m, sem reaproveitamento - construções anexas</t>
  </si>
  <si>
    <t>2.00</t>
  </si>
  <si>
    <t>SERVIÇOS INICIAIS</t>
  </si>
  <si>
    <t>2.1</t>
  </si>
  <si>
    <t>Engenheiro de obra senior - 24 meses</t>
  </si>
  <si>
    <t>mês</t>
  </si>
  <si>
    <t>2.2</t>
  </si>
  <si>
    <t>Engenheiro civil de obra júnior - residente da obra (1 engenheiros - 24meses)</t>
  </si>
  <si>
    <t>2.3</t>
  </si>
  <si>
    <t>COMP-05</t>
  </si>
  <si>
    <t>Engenheiro eletricista - residente de obra - 1 engenheiro - 12 meses</t>
  </si>
  <si>
    <t>2.4</t>
  </si>
  <si>
    <t>COMP-08</t>
  </si>
  <si>
    <t>Engenheiro mecânico - residente de obra - 1 engenheiro - 12 meses</t>
  </si>
  <si>
    <t>2.5</t>
  </si>
  <si>
    <t xml:space="preserve">Sinapi </t>
  </si>
  <si>
    <t>Engenheiro de segurança do trabalho - 1 engenheiro  - 5 meses</t>
  </si>
  <si>
    <t>COMP-10</t>
  </si>
  <si>
    <t>Médico de segurança do trabalho - 5 meses</t>
  </si>
  <si>
    <t>2.6</t>
  </si>
  <si>
    <t>Mestre de obras - 1 mestre - 24 meses</t>
  </si>
  <si>
    <t>2.7</t>
  </si>
  <si>
    <t>Encarregado geral - 24 meses</t>
  </si>
  <si>
    <t>2.8</t>
  </si>
  <si>
    <t>COMP-06</t>
  </si>
  <si>
    <t>Auxiliar Técnico de Engenharia - 2 unidades - 24 meses</t>
  </si>
  <si>
    <t>2.9</t>
  </si>
  <si>
    <t>Auxiliar de escritorio com encargos complementares - 2 unid</t>
  </si>
  <si>
    <t>Apontador ou apropriador com encargos complementares</t>
  </si>
  <si>
    <t>Almoxarife com encargos complementares</t>
  </si>
  <si>
    <t>2.12</t>
  </si>
  <si>
    <t>COMP-07</t>
  </si>
  <si>
    <t>Vigia noturno com encargos complementares - 3 unidades</t>
  </si>
  <si>
    <t>PROTEÇÕES E SINALIZAÇÕES</t>
  </si>
  <si>
    <t>Bandeja salva vidas/coleta de entulhos, com tábua</t>
  </si>
  <si>
    <t>m</t>
  </si>
  <si>
    <t>2.13</t>
  </si>
  <si>
    <t>73804/001</t>
  </si>
  <si>
    <t>Proteção de fachada com tela de polipropileno fixada em estrutura de madeira com arame galvanizado</t>
  </si>
  <si>
    <t>m²</t>
  </si>
  <si>
    <t>2.14</t>
  </si>
  <si>
    <t>Extintor de CO2 6kg - fornecimento e instalação</t>
  </si>
  <si>
    <t>2.15</t>
  </si>
  <si>
    <t>73775/001</t>
  </si>
  <si>
    <t>Extintor incendio tp po quimico 4kg fornecimento e instalação</t>
  </si>
  <si>
    <t>2.16</t>
  </si>
  <si>
    <t>73775/002</t>
  </si>
  <si>
    <t>Exintor incendio agua pressurizada 10l incl suporte parede corga completa - fornecimento e colocação</t>
  </si>
  <si>
    <t>MAQUINAS, FERRAMENTAS E EQUIPAMENTOS</t>
  </si>
  <si>
    <t>2.17</t>
  </si>
  <si>
    <t>Locação mensal de andaime metalico tipo fachadeiro, inclusive montagem</t>
  </si>
  <si>
    <r>
      <t>m</t>
    </r>
    <r>
      <rPr>
        <b/>
        <sz val="11"/>
        <rFont val="Arial"/>
        <family val="2"/>
      </rPr>
      <t>²</t>
    </r>
  </si>
  <si>
    <t>2.18</t>
  </si>
  <si>
    <t>Elevador de Obra com Torre de *2,00 X 2,00* m, altura de 15m, carga maxima igual a 1500 kg, cabinesemi-fechada para material, com guincho de corrente e engrenagem e motor eletrico trifasico de 10 cv (locacao)</t>
  </si>
  <si>
    <t>h</t>
  </si>
  <si>
    <t>2.19</t>
  </si>
  <si>
    <t>Locação de vibrador de imersão com motor eletrico trifasico acima de 2cv</t>
  </si>
  <si>
    <t>Consumo de Água</t>
  </si>
  <si>
    <t>m³</t>
  </si>
  <si>
    <t>Consumo de Energia</t>
  </si>
  <si>
    <t>kwh</t>
  </si>
  <si>
    <t>3.00</t>
  </si>
  <si>
    <t>INFRAESTRUTURA</t>
  </si>
  <si>
    <t>3.1</t>
  </si>
  <si>
    <t>Sapatas</t>
  </si>
  <si>
    <t>3.1.1</t>
  </si>
  <si>
    <t xml:space="preserve"> 93358 </t>
  </si>
  <si>
    <t>Escavação manual de valas. Af_03/2016</t>
  </si>
  <si>
    <t>3.1.2</t>
  </si>
  <si>
    <t>Concreto fck=25mpa, virado em betoneira, sem lancamento</t>
  </si>
  <si>
    <t>3.1.3</t>
  </si>
  <si>
    <t xml:space="preserve"> 92873 </t>
  </si>
  <si>
    <t>Lançamento com uso de baldes, adensamento e acabamento de concreto em estruturas. Af_12/2015</t>
  </si>
  <si>
    <t>3.1.4</t>
  </si>
  <si>
    <t xml:space="preserve"> 94111 </t>
  </si>
  <si>
    <t>Preparo de fundo de vala (lastro) com largura menor que 1,5 m, com camada de areia, lançamento mecanizado, em local com nível baixo de interferência. Af_06/2016</t>
  </si>
  <si>
    <t>3.1.5</t>
  </si>
  <si>
    <t>Lastro de concreto, preparo mecanico</t>
  </si>
  <si>
    <t>3.1.6</t>
  </si>
  <si>
    <t xml:space="preserve"> 92915 </t>
  </si>
  <si>
    <t>Armação de fundações e estruturas de concreto armado, exceto vigas, pilares e lajes (de edifícios de múltiplos pavimentos, edificação térrea ou sobrado), utilizando aço ca-60 de 5.0 mm - montagem. Af_12/2015</t>
  </si>
  <si>
    <t>KG</t>
  </si>
  <si>
    <t>3.1.7</t>
  </si>
  <si>
    <t xml:space="preserve"> 92916 </t>
  </si>
  <si>
    <t>Armação de fundações e estruturas de concreto armado, exceto vigas, pilares e lajes (de edifícios de múltiplos pavimentos, edificação térrea ou sobrado), utilizando aço ca-50 de 6.3 mm - montagem. Af_12/2015</t>
  </si>
  <si>
    <t>3.1.8</t>
  </si>
  <si>
    <t xml:space="preserve"> 92917 </t>
  </si>
  <si>
    <t>Armação de fundações e estruturas de concreto armado, exceto vigas, pilares e lajes (de edifícios de múltiplos pavimentos, edificação térrea ou sobrado), utilizando aço ca-50 de 8.0 mm - montagem. Af_12/2015</t>
  </si>
  <si>
    <t>3.1.9</t>
  </si>
  <si>
    <t xml:space="preserve"> 92919 </t>
  </si>
  <si>
    <t>Armação de fundações e estruturas de concreto armado, exceto vigas, pilares e lajes (de edifícios de múltiplos pavimentos, edificação térrea ou sobrado), utilizando aço ca-50 de 10.0 mm - montagem. Af_12/2015</t>
  </si>
  <si>
    <t>3.1.10</t>
  </si>
  <si>
    <t xml:space="preserve"> 92921 </t>
  </si>
  <si>
    <t>Armação de fundações e estruturas de concreto armado, exceto vigas, pilares e lajes (de edifícios de múltiplos pavimentos, edificação térrea ou sobrado), utilizando aço ca-50 de 12.5 mm - montagem. Af_12/2015</t>
  </si>
  <si>
    <t>3.1.11</t>
  </si>
  <si>
    <t xml:space="preserve"> 92922 </t>
  </si>
  <si>
    <t>Armação de fundações e estruturas de concreto armado, exceto vigas, pilares e lajes (de edifícios de múltiplos pavimentos, edificação térrea ou sobrado), utilizando aço ca-50 de 16.0 mm - montagem. Af_12/2015</t>
  </si>
  <si>
    <t>3.2</t>
  </si>
  <si>
    <t>Cintas</t>
  </si>
  <si>
    <t>3.2.1</t>
  </si>
  <si>
    <t>3.2.2</t>
  </si>
  <si>
    <t>3.2.3</t>
  </si>
  <si>
    <t>3.2.4</t>
  </si>
  <si>
    <t>3.2.5</t>
  </si>
  <si>
    <t>3.2.6</t>
  </si>
  <si>
    <t>3.2.7</t>
  </si>
  <si>
    <t>4.00</t>
  </si>
  <si>
    <t>SUPERESTRUTURA</t>
  </si>
  <si>
    <t>4.1</t>
  </si>
  <si>
    <t>Cintas superior</t>
  </si>
  <si>
    <t>4.1.1</t>
  </si>
  <si>
    <t>Concreto fck=20mpa, virado em betoneira, sem lancamento</t>
  </si>
  <si>
    <t>4.1.2</t>
  </si>
  <si>
    <t>4.2</t>
  </si>
  <si>
    <t>Vigas de concreto armado</t>
  </si>
  <si>
    <t>4.2.1</t>
  </si>
  <si>
    <t>4.2.2</t>
  </si>
  <si>
    <t>4.3</t>
  </si>
  <si>
    <t>Pilaretes de concreto armado</t>
  </si>
  <si>
    <t>4.3.1</t>
  </si>
  <si>
    <t>4.3.2</t>
  </si>
  <si>
    <t>4.4</t>
  </si>
  <si>
    <t>Armação - cintas/vigas/pilaretes</t>
  </si>
  <si>
    <t>4.4.1</t>
  </si>
  <si>
    <t xml:space="preserve"> 92799 </t>
  </si>
  <si>
    <t>Corte e dobra de aço ca-60, diâmetro de 4.2 mm, utilizado em laje. Af_12/2015</t>
  </si>
  <si>
    <t>4.4.2</t>
  </si>
  <si>
    <t>4.4.3</t>
  </si>
  <si>
    <t>4.4.4</t>
  </si>
  <si>
    <t>4.5</t>
  </si>
  <si>
    <t>Vergas e contravergas</t>
  </si>
  <si>
    <t>4.5.1</t>
  </si>
  <si>
    <t xml:space="preserve"> 93186 </t>
  </si>
  <si>
    <t>Verga moldada in loco em concreto para janelas com até 1,5 m de vão. Af_03/2016</t>
  </si>
  <si>
    <t>M</t>
  </si>
  <si>
    <t>4.5.2</t>
  </si>
  <si>
    <t xml:space="preserve"> 93187 </t>
  </si>
  <si>
    <t>Verga moldada in loco em concreto para janelas com mais de 1,5 m de vão. Af_03/2016</t>
  </si>
  <si>
    <t>4.5.3</t>
  </si>
  <si>
    <t xml:space="preserve"> 93197 </t>
  </si>
  <si>
    <t>Contraverga moldada in loco em concreto para vãos de mais de 1,5 m de comprimento. Af_03/2016</t>
  </si>
  <si>
    <t>4.5.4</t>
  </si>
  <si>
    <t xml:space="preserve"> 93188 </t>
  </si>
  <si>
    <t>Verga moldada in loco em concreto para portas com até 1,5 m de vão. Af_03/2016</t>
  </si>
  <si>
    <t>4.5.5</t>
  </si>
  <si>
    <t xml:space="preserve"> 93189 </t>
  </si>
  <si>
    <t>Verga moldada in loco em concreto para portas com mais de 1,5 m de vão. Af_03/2016</t>
  </si>
  <si>
    <t>4.6</t>
  </si>
  <si>
    <t>Lajes e reservatório</t>
  </si>
  <si>
    <t>4.6.1</t>
  </si>
  <si>
    <t>4.6.2</t>
  </si>
  <si>
    <t>4.6.3</t>
  </si>
  <si>
    <t>4.6.4</t>
  </si>
  <si>
    <t>4.6.5</t>
  </si>
  <si>
    <t>4.6.6</t>
  </si>
  <si>
    <t>4.6.7</t>
  </si>
  <si>
    <t>4.6.8</t>
  </si>
  <si>
    <t>4.6.9</t>
  </si>
  <si>
    <t xml:space="preserve"> 92923 </t>
  </si>
  <si>
    <t>Armação de fundações e estruturas de concreto armado, exceto vigas, pilares e lajes (de edifícios de múltiplos pavimentos, edificação térrea ou sobrado), utilizando aço ca-50 de 20.0 mm - montagem. Af_12/2015</t>
  </si>
  <si>
    <t>4.6.10</t>
  </si>
  <si>
    <t>Laje pré-fabricada STEEL DECK para piso, espessura da chapa 0,80 mm, espessura da laje 15 cm, com capa de concreto FCK=25Mpa</t>
  </si>
  <si>
    <t>4.7</t>
  </si>
  <si>
    <t>Estruturas metálicas</t>
  </si>
  <si>
    <t>4.7.1</t>
  </si>
  <si>
    <t>FGV</t>
  </si>
  <si>
    <t xml:space="preserve"> CP-0082 </t>
  </si>
  <si>
    <t>Fornecimento e montagem de perfil w 200 x 35,9-  inclusive perdas</t>
  </si>
  <si>
    <t>4.7.2</t>
  </si>
  <si>
    <t xml:space="preserve"> CP-0083 </t>
  </si>
  <si>
    <t>Fornecimento e montagem de perfil w 200 x 46,1 -  inclusive perdas</t>
  </si>
  <si>
    <t>4.7.3</t>
  </si>
  <si>
    <t xml:space="preserve"> CP-0096 </t>
  </si>
  <si>
    <t>Fornecimento e montagem de perfil hp 200 x 53,0 - inclusive perdas</t>
  </si>
  <si>
    <t>4.8</t>
  </si>
  <si>
    <t>Estruturas metálicas - 1º pavimento</t>
  </si>
  <si>
    <t>4.8.1</t>
  </si>
  <si>
    <t xml:space="preserve"> CP-0085 </t>
  </si>
  <si>
    <t>Fornecimento e montagem de perfil w 360 x 32,9 -  inclusive perdas</t>
  </si>
  <si>
    <t>4.8.2</t>
  </si>
  <si>
    <t xml:space="preserve"> CP-0084 </t>
  </si>
  <si>
    <t>Fornecimento e montagem de perfil w 310 x 23,8 -  inclusive perdas</t>
  </si>
  <si>
    <t>4.8.3</t>
  </si>
  <si>
    <t xml:space="preserve"> CP-0087 </t>
  </si>
  <si>
    <t>Fornecimento e montagem de perfil w 410 x 46,1 -  inclusive perdas</t>
  </si>
  <si>
    <t>4.8.4</t>
  </si>
  <si>
    <t xml:space="preserve"> CP-0086 </t>
  </si>
  <si>
    <t>Fornecimento e montagem de perfil w 410 x 38,8 -  inclusive perdas</t>
  </si>
  <si>
    <t>4.8.5</t>
  </si>
  <si>
    <t xml:space="preserve"> CP-0090 </t>
  </si>
  <si>
    <t>Fornecimento e montagem de perfil w 460 x 52,0 -  inclusive perdas</t>
  </si>
  <si>
    <t>4.8.6</t>
  </si>
  <si>
    <t xml:space="preserve"> CP-0095 </t>
  </si>
  <si>
    <t>Fornecimento e montagem de perfil u enrijecido - 150 x 60 x 20 c/03mm de espessura 6,735kg - inclusive perdas</t>
  </si>
  <si>
    <t>4.8.7</t>
  </si>
  <si>
    <t xml:space="preserve"> CP-0091 </t>
  </si>
  <si>
    <t>Fornecimento e montagem de perfil w 530 x 66,0 -  inclusive perdas</t>
  </si>
  <si>
    <t>4.8.8</t>
  </si>
  <si>
    <t xml:space="preserve"> CP-0092 </t>
  </si>
  <si>
    <t>Fornecimento e montagem de perfil w 530 x 74,0 -  inclusive perdas</t>
  </si>
  <si>
    <t>4.8.9</t>
  </si>
  <si>
    <t xml:space="preserve"> CP-0088 </t>
  </si>
  <si>
    <t>Fornecimento e montagem de perfil w 410 x 53,0 -  inclusive perdas</t>
  </si>
  <si>
    <t>4.8.10</t>
  </si>
  <si>
    <t xml:space="preserve"> CP-0089 </t>
  </si>
  <si>
    <t>Fornecimento e montagem de perfil w 410 x 60,0 -  inclusive perdas</t>
  </si>
  <si>
    <t>4.8.11</t>
  </si>
  <si>
    <t xml:space="preserve"> CP-0094 </t>
  </si>
  <si>
    <t>Fornecimento e montagem de perfil u - 6" x 12,20kg/m -  inclusive perdas</t>
  </si>
  <si>
    <t>4.8.12</t>
  </si>
  <si>
    <t xml:space="preserve"> CP-0093 </t>
  </si>
  <si>
    <t>Fornecimento e montagem de perfil u - 4" x 8,04kg/m -  inclusive perdas</t>
  </si>
  <si>
    <t>4.9</t>
  </si>
  <si>
    <t>Estruturas metálicas - 2º pavimento</t>
  </si>
  <si>
    <t>4.9.1</t>
  </si>
  <si>
    <t>4.9.2</t>
  </si>
  <si>
    <t>4.9.3</t>
  </si>
  <si>
    <t>4.9.4</t>
  </si>
  <si>
    <t>4.9.5</t>
  </si>
  <si>
    <t>4.9.6</t>
  </si>
  <si>
    <t>4.9.7</t>
  </si>
  <si>
    <t>4.9.8</t>
  </si>
  <si>
    <t>4.9.9</t>
  </si>
  <si>
    <t>4.9.10</t>
  </si>
  <si>
    <t>4.9.11</t>
  </si>
  <si>
    <t>4.9.12</t>
  </si>
  <si>
    <t>4.10</t>
  </si>
  <si>
    <t>Estruturas metálicas - cobertura</t>
  </si>
  <si>
    <t>4.10.1</t>
  </si>
  <si>
    <t>4.10.2</t>
  </si>
  <si>
    <t>4.10.3</t>
  </si>
  <si>
    <t>4.10.4</t>
  </si>
  <si>
    <t>4.10.5</t>
  </si>
  <si>
    <t>4.10.6</t>
  </si>
  <si>
    <t>4.10.7</t>
  </si>
  <si>
    <t>4.10.8</t>
  </si>
  <si>
    <t>4.10.9</t>
  </si>
  <si>
    <t>4.10.10</t>
  </si>
  <si>
    <t>5.00</t>
  </si>
  <si>
    <t>PAREDES E PAINÉIS</t>
  </si>
  <si>
    <t>5.1</t>
  </si>
  <si>
    <t>Paredes internas</t>
  </si>
  <si>
    <t>5.1.1</t>
  </si>
  <si>
    <t xml:space="preserve"> 89043 </t>
  </si>
  <si>
    <t>Alvenaria de vedação de blocos vazados de cerâmica de 9x19x19cm (espessura 9cm), para edificação habitacional multifamiliar (prédio). Af_11/2014</t>
  </si>
  <si>
    <t>5.1.2</t>
  </si>
  <si>
    <t>5.2</t>
  </si>
  <si>
    <t>Paredes externas (periferia)</t>
  </si>
  <si>
    <t>5.2.1</t>
  </si>
  <si>
    <t>6.00</t>
  </si>
  <si>
    <t>COBERTURA</t>
  </si>
  <si>
    <t>6.1</t>
  </si>
  <si>
    <t>Hospital</t>
  </si>
  <si>
    <t>6.1.1</t>
  </si>
  <si>
    <t>Estrutura metalica em tesoura ou treliça,vão livre de 15m,fornecimento e montagem.</t>
  </si>
  <si>
    <t>6.1.2</t>
  </si>
  <si>
    <t>Telhamento com telha em aluminio, trapezoidal, dupla, termoacústica, cor branca, e=0,5mm e poliuretano e=30mm</t>
  </si>
  <si>
    <t>6.1.3</t>
  </si>
  <si>
    <t>Calha em chapa de aço galvanizada n°24  desenv.50cm</t>
  </si>
  <si>
    <t>6.1.4</t>
  </si>
  <si>
    <t>Rufo em chapa de aço galvanizada n°24,desenvov.25cm.</t>
  </si>
  <si>
    <t>6.1.5</t>
  </si>
  <si>
    <t>Seinfra</t>
  </si>
  <si>
    <t>C1004</t>
  </si>
  <si>
    <t xml:space="preserve">Cumeeira tipo onduline em estrutura metalica </t>
  </si>
  <si>
    <t>6.1.6</t>
  </si>
  <si>
    <t>C1600</t>
  </si>
  <si>
    <t>Lanternim duplo ,vão de 20m</t>
  </si>
  <si>
    <t>6.1.7</t>
  </si>
  <si>
    <t>Tela de aluminio fio e=1,5mm e malha (4x4mm),tipo alambrado,em laterais e fundo do lanternim.incluso:perfil de aluminio(5x5cm) e parafusos com rosca soberba 8x50mm.</t>
  </si>
  <si>
    <t>6.1.8</t>
  </si>
  <si>
    <t>Impermeabilização de lajes com véu de poliester</t>
  </si>
  <si>
    <t>6.1.9</t>
  </si>
  <si>
    <t>74202/001</t>
  </si>
  <si>
    <t>Laje pre-moldada p/ forro,sobre carga 100kg/m²,vãos até 3,50m,/e=8cm,c/lajota e cap./conc.fck=20mpa,3cm,inter-eixo 38cm,c/escoramento,reaprov.,3x),e ferragem neg.</t>
  </si>
  <si>
    <t>6.2</t>
  </si>
  <si>
    <t>Unidades de apoio</t>
  </si>
  <si>
    <t>6.2.1</t>
  </si>
  <si>
    <t>6.2.2</t>
  </si>
  <si>
    <t>6.2.3</t>
  </si>
  <si>
    <t>Calha metalica emchapa de aço galvanizada  n° 24 desenv. 50cm</t>
  </si>
  <si>
    <t>6.2.4</t>
  </si>
  <si>
    <t>6.2.5</t>
  </si>
  <si>
    <t>Chapim de concreto aparente com acabamento desempenado,forma de compensado plastificado (maderite) de 14x10 cm ,fundido no local</t>
  </si>
  <si>
    <t>6.3</t>
  </si>
  <si>
    <t>Marquises (3 unidades)</t>
  </si>
  <si>
    <t>6.3.1</t>
  </si>
  <si>
    <t>6.3.2</t>
  </si>
  <si>
    <t>6.3.3</t>
  </si>
  <si>
    <t>6.3.4</t>
  </si>
  <si>
    <t>6.3.5</t>
  </si>
  <si>
    <t>C2222</t>
  </si>
  <si>
    <t>Forro em revestimento metalico (tipo reynobond) duas chapas</t>
  </si>
  <si>
    <t>6.3.6</t>
  </si>
  <si>
    <t>Forro  em gesso acartonado estruturado,fornecimento e montagem</t>
  </si>
  <si>
    <t>6.3.7</t>
  </si>
  <si>
    <t>6.3.8</t>
  </si>
  <si>
    <t>Revestimento (painéis ) metálico tipo reynobond duas chapas  nas faces (fachada  das marquises),03-unidades.</t>
  </si>
  <si>
    <t>6.3.9</t>
  </si>
  <si>
    <t>C4760</t>
  </si>
  <si>
    <t>Tubo pvc 75mm,inclusive conexões</t>
  </si>
  <si>
    <t>7.00</t>
  </si>
  <si>
    <t>IMPERMEABILIZAÇÃO</t>
  </si>
  <si>
    <t>7.01</t>
  </si>
  <si>
    <t>Impermeabilizacao das lajes com manta asfaltica (com polimeros tipo app), e=3 mm</t>
  </si>
  <si>
    <t>8.00</t>
  </si>
  <si>
    <t>ESQUADRIAS</t>
  </si>
  <si>
    <t>8.1</t>
  </si>
  <si>
    <t>Esquadrias de Madeira</t>
  </si>
  <si>
    <t>8.1.1</t>
  </si>
  <si>
    <t>Porta Madeira ,para Banheiro em chapa de madeira compensado,Revestida  com Laminado melaminico liso,0,60x1,60cm,incluso;Marco e Dobradiça.</t>
  </si>
  <si>
    <t>Unid.</t>
  </si>
  <si>
    <t>8.1.2</t>
  </si>
  <si>
    <t>Kit de Porta de madeira ,semi-oca,padrão médio,0,90x2,10cm,E=3,5cm,itens inclusos:Dobradiça,Montagens E  Instalação do Batente,e Fechadura ,Fornecimento E Instalação,c/  maçaneta cromada tipo Alavanca ,Exclusive-laminado melaminico.</t>
  </si>
  <si>
    <t>8.1.3</t>
  </si>
  <si>
    <t>Kit de Porta de madeira ,semi-oca,padrão médio,0,80x2,10cm,E=3,5cm,itens inclusos:Dobradiça,Montagens E  Instalação do Batente,e Fechadura com maçaneta cromada  tipo Alavanca,Fornecimento E Instalação.Exclusive-Laminado Melaminico.</t>
  </si>
  <si>
    <t>8.1.4</t>
  </si>
  <si>
    <t>Kit de Porta de Madeira,semi-oca,padrão médio,0,70x2,10cm E=3,50cm,Fechadura com maçaneta tipo Alavanca ,incluso:Dobradiça,Montagens E Instalações  do Batente, E Fornecimento E Instalação.Exclusive-laminado Melaminico.</t>
  </si>
  <si>
    <t>8.1.5</t>
  </si>
  <si>
    <t>Kit de Porta de Madeira,semi-oca,padrão médio,0,60x2,10cm,incluso:Dobradiça, com Fechadura , tipo Alavanca,cromada ,Montagens E Instalações  do Batente, E Fornecimento E Instalação.Exclusive-laminado melanico.</t>
  </si>
  <si>
    <t>8.1.6</t>
  </si>
  <si>
    <t>Porta em Madeira compensado,lisa ,semi-oça 1,80x2,10m,2fls.,com Visor (50x60cm),Tipo vai-vém,inclusive Batente,e Ferragens,Execeto vidros e laminado melanico.</t>
  </si>
  <si>
    <t>8.1.7</t>
  </si>
  <si>
    <t>C2670</t>
  </si>
  <si>
    <t>Vidro comum em caixilho(visor), E=4mm,para Visor (50x60cm), 02-lados,em portas, Vai-Vém,colocado</t>
  </si>
  <si>
    <t>8.1.8</t>
  </si>
  <si>
    <t>74910/008</t>
  </si>
  <si>
    <t>Porta Madeira Compensada,lisa,para revestimento melamínico,(1,20x2,10mx3,5cm) 02-fls. Incluso: Aduela e dobradiças..</t>
  </si>
  <si>
    <t>UNID</t>
  </si>
  <si>
    <t>8.1.9</t>
  </si>
  <si>
    <t>Porta Madeira compensada,lisa,semi-oca,(1,30x2,10m) ,inclusive Batente E Ferragens.exclusive-revestimento melaminico.</t>
  </si>
  <si>
    <t>8.1.10</t>
  </si>
  <si>
    <t>Porta em Madeira compensado,lisa ,semi-oça (1,0x2,10m),Revestida com  laminado melamínico liso ,inclusive:,inclusive Batente,e Ferragens,(maçaneta cromada de alavanca com terminação arredondada.).</t>
  </si>
  <si>
    <t>8.1.11</t>
  </si>
  <si>
    <t>Porta Madeira Compensada,lisa,para revestimento melamínico,(1,80x2,10mx3,5cm )02-fls.=02-Unidade, Incluso: Aduela e dobradiças..</t>
  </si>
  <si>
    <t>8.1.12</t>
  </si>
  <si>
    <t>Fechadura  de  Embutir com Cilindro-Externo,completa,Fornecimento /Instalações.Com maçaneta cromada Tipo Alavanca Arredondada.</t>
  </si>
  <si>
    <t>unid</t>
  </si>
  <si>
    <t>8.1.13</t>
  </si>
  <si>
    <t>Fechadura De Tarjeta ( livre -ocupada),para Porta box,Banheiros,fixada em granito.</t>
  </si>
  <si>
    <t>8.1.14</t>
  </si>
  <si>
    <t>Alizares em Madeira 1ªQualidade;5x1,5cm (02-lados ).</t>
  </si>
  <si>
    <t>cj</t>
  </si>
  <si>
    <t>8.1.15</t>
  </si>
  <si>
    <t>73736/001</t>
  </si>
  <si>
    <t>Dobradiça,Tipo vai-vém em latão polido 3´´.</t>
  </si>
  <si>
    <t>8.1.16</t>
  </si>
  <si>
    <t>Laminado Melaminico liso,para Revestimentos de chapa compensado de Portas de madeira,E=0,8mm,fixado com cola.</t>
  </si>
  <si>
    <t>8.1.17</t>
  </si>
  <si>
    <t>Proteção vinilica p/ portas</t>
  </si>
  <si>
    <t>8.2</t>
  </si>
  <si>
    <t>Esquadrias de Alumínio</t>
  </si>
  <si>
    <t>8.2.1</t>
  </si>
  <si>
    <t>Janela basculante maxim-ar em aluminio anodizado natural, fixação com parafuso sobre contramarco, com vidros, padronizada</t>
  </si>
  <si>
    <t>8.2.2</t>
  </si>
  <si>
    <t>C1967</t>
  </si>
  <si>
    <t>Porta em Aluminio Natural, Abrir/Correr, Tipo Moldura Sem Vidro, Exclusive Tela metálica Milimétrica Malha 13mm</t>
  </si>
  <si>
    <t>8.2.3</t>
  </si>
  <si>
    <t>C2423</t>
  </si>
  <si>
    <t>Tela Metálica Aço Galvanizado ,malha 13x13mm</t>
  </si>
  <si>
    <t>8.2.4</t>
  </si>
  <si>
    <t>Vidro Temperado Transparente E=10mm,para Porta em Tipo moldura  em Aluminio,inclusive Colocação.</t>
  </si>
  <si>
    <t>8.2.5</t>
  </si>
  <si>
    <t>Fechadura de embutir com cilindro-externo, completa, incluso execução de furos - fornecimento/instalações.</t>
  </si>
  <si>
    <t>8.2.6</t>
  </si>
  <si>
    <t>Vidro liso comum Transparente E=6mm,Fechamento dos Basculantes,pelo lado interno</t>
  </si>
  <si>
    <t>8.2.7</t>
  </si>
  <si>
    <t>Caixilho (Moldura),Fixo,de Aluminio,com Tela de Metal fio 12 malha 3x3cm.lado Externo</t>
  </si>
  <si>
    <t>8.3</t>
  </si>
  <si>
    <t>Esquadrias de Ferro</t>
  </si>
  <si>
    <t>8.3.1</t>
  </si>
  <si>
    <t>73933/002</t>
  </si>
  <si>
    <t>Porta de Ferro,de Abrir, chapa Lisa, ,Dim.(0,50x1,50)m,01-fl. com Guarnições.</t>
  </si>
  <si>
    <t>8.3.2</t>
  </si>
  <si>
    <t>Porta de Ferro,de abrir, chapa lisa,Dim.(0,70x2,10)m =01-Unidade,01-fl. com Guarnições.</t>
  </si>
  <si>
    <t>8.3.3</t>
  </si>
  <si>
    <t>73933/001</t>
  </si>
  <si>
    <t>Porta  de Ferro de Correr,Tipo Grade com chapa,(1,70mx2,40m)=03-Unidades, com Guarnições.</t>
  </si>
  <si>
    <t>8.3.4</t>
  </si>
  <si>
    <t>Porta de Ferro de Abrir,Tipo Grade com chapa,Dim. (3,0x2,40m)=03unidade,02-fls.,com Guarnições.</t>
  </si>
  <si>
    <t>8.3.5</t>
  </si>
  <si>
    <t>Porta Corta-Fogo,01-folha,Dimensão (0,90x2,10x4cm),Fornecimento E Instalações.</t>
  </si>
  <si>
    <t>Unid</t>
  </si>
  <si>
    <t>8.3.6</t>
  </si>
  <si>
    <t>C1964</t>
  </si>
  <si>
    <t>Porta corta-Fogo,01-folha,Dimensão (1,60,x2,10x4cm),Fornecimento E Instalações.</t>
  </si>
  <si>
    <t>8.3.7</t>
  </si>
  <si>
    <t>73933/003</t>
  </si>
  <si>
    <t>Porta de Ferro Tipo Moldura,de Abrir,sem ferragens,Exclusie:Tela galv.milimetrica,Dim.(1,0x2,10m)=02unid.</t>
  </si>
  <si>
    <t>8.3.8</t>
  </si>
  <si>
    <t>Porta de Ferro Tipo Moldura,de Abrir,sem ferragens,Exclusie:Tela galv.milimetrica,Dim.(0,90x2,10m)=03unid.</t>
  </si>
  <si>
    <t>8.3.9</t>
  </si>
  <si>
    <t>Porta de Ferro Tipo moldura,de Abrir,sem ferragens,Exclusive tela galv.milimetrica,Dim (0,80mx2,10m)=01-unidade.</t>
  </si>
  <si>
    <t>8.3.10</t>
  </si>
  <si>
    <t>Porta de Ferro Tipo Moldura de Abrir,sem ferragens.Exclusive tela galv.milimetrica,Dim.(1,60x2,10m)=03 unidades.</t>
  </si>
  <si>
    <t>8.3.11</t>
  </si>
  <si>
    <t>Porta de Ferro Tipo Moldura de Abrir,sem ferragens.Exclusive tela galv.milimetrica,Dim.(1,80x2,10m)=01 unidades.</t>
  </si>
  <si>
    <t>8.3.12</t>
  </si>
  <si>
    <t>Porta de Ferro Tipo Moldura de Abrir,se ferragens.Exclusive:Tela galv. Milimetrica,Dim (2,0mx2,10)=06 Unidades</t>
  </si>
  <si>
    <t>8.3.13</t>
  </si>
  <si>
    <t>Tela Metálica Aço Galvanizado ,malha 13x13mm,Para Portas tipo Moldura de Ferro.</t>
  </si>
  <si>
    <t>8.3.14</t>
  </si>
  <si>
    <t>Orse-Se</t>
  </si>
  <si>
    <t>Gradil  de Ferro 1/2´´x1/2´´ espaçamento 10cm em tubo de Aço galvanizado d=2´´ espaçamento 3cm,inclusiveAssentamento,Dim(5,50mx2,80m)</t>
  </si>
  <si>
    <t>8.3.15</t>
  </si>
  <si>
    <t>Gradil  de Ferro 1/2´´x1/2´´ espaçamento 10cm em tubo de Aço galvanizado d=2´´ espaçamento 3cm,inclusiveAssentamento,Dim(39,10x1,80m)</t>
  </si>
  <si>
    <t>8.3.16</t>
  </si>
  <si>
    <t>C3659</t>
  </si>
  <si>
    <t>Portão De Metalon E Barra Chata de ferro  c/ Fechadura   e Dobradiça ,incluso  pintura esmalte sintetico,,01-folha,,Correr,Dim.(5,0x2,30m)=03unidades.</t>
  </si>
  <si>
    <t>8.3.17</t>
  </si>
  <si>
    <t>Portão De Metalon E Barra Chata de ferro C/Fechadura e dobradiça ,incluso:pintura esmalte Sintetico- ,01-folha,,Correr,Dim.(4,0x2,30m)=02unidade.</t>
  </si>
  <si>
    <t>8.3.18</t>
  </si>
  <si>
    <t>Portão de Metalon E  Barra Chata de ferro c/ Fechadura e Dobradiça ,incluso: Pintura esmalte sintetico ,01-folha,Correr ,Dim.(3,20x2,30)=01unidade .</t>
  </si>
  <si>
    <t>8.3.19</t>
  </si>
  <si>
    <t>Portão De Metalon e Barra Chata de ferro c/ Fechadura e Dobradiça incluso:Pintura esmalte Sintetico ,01-Folha, Abrir,,Dim(1,0x2,30m)=01 unidade..</t>
  </si>
  <si>
    <t>8.3.20</t>
  </si>
  <si>
    <t>Portão Tipo Gradil Em Barras Quadrada de Aço 3/8´´na Vertical ,espaçamento de 10cm,duas barras chata de 1´´x1/4´´ na Horizontal ,aplicada nas duas faces.,Abrir,)02-Fls,Dim( 2,0x2,10m)=01 unidade</t>
  </si>
  <si>
    <t>8.3.21</t>
  </si>
  <si>
    <t>Portão Tipo Gradil em Barra Quadrada de Aço 3/8´´na Vertical,espaçamento de 10cm ,duas barras chata de 1´´x1/4´´ na Horizontal,aplicada nas duas faces ,Correr,Dim( 4,10x2,10m)=02 unidade,.</t>
  </si>
  <si>
    <t>8.3.22</t>
  </si>
  <si>
    <t>Fechadura cromada de Embutir com Cilindro-Externo,completa,Fornecimento /Instalações.</t>
  </si>
  <si>
    <t>8.3.23</t>
  </si>
  <si>
    <t>Alambrado com Tela de arame galv.fio12 bwg.malha 3´´,fixado com tubo de aço galv.2´´,formando quadrados de 2x2m,exeto,fixação e mureta.</t>
  </si>
  <si>
    <t>8.4</t>
  </si>
  <si>
    <t>Esquadrias de Vidro</t>
  </si>
  <si>
    <t>8.4.1</t>
  </si>
  <si>
    <t>Folha de Vidro Temperado 8mm Transparente, Fornecimento /Instalação ,Fixo,dim.(5,0mx2,80m) =01 um.Exclusive Tela milimetrica e moldura de aluminio.</t>
  </si>
  <si>
    <t>8.4.2</t>
  </si>
  <si>
    <t>Folha de Vidro 8mm  Transparente,Fixo,dim (1,30mx1,20),Peitoril,H=0,90cm .Exclusive:Acessorios,Tela milimetrica e moldura de aluminio.</t>
  </si>
  <si>
    <t>8.4.3</t>
  </si>
  <si>
    <t>Folha de Vidro 8mm Transparente,Fixo,dim.(0,90x1,20),Peitoril,H=1,10m =11,00 unidades..Exclusive:acessórios ,Tela milimetrica e moldura de Aluminio.</t>
  </si>
  <si>
    <t>8.4.4</t>
  </si>
  <si>
    <t>Folha de Vidro 8mm Transparente,Fixo,dim.(1,90,mx1,20m) =03unidade.Peitoril,H=0,90cm.Exclusive:acessorios,tela milimetrica e moldura de aluminio.</t>
  </si>
  <si>
    <t>8.4.5</t>
  </si>
  <si>
    <t>Folha de Vidro 8mm Transparente ,Fixo Dim (2,30x1,20m) =01-unidade,peitoril,H=0,90cm.Exclusive:Acessorios,tela milimetrica e moldura de aluminio</t>
  </si>
  <si>
    <t>8.4.6</t>
  </si>
  <si>
    <t>Folha de Vidro 8mm Transparente,Fixo,Dim (0,90x2,60m) =01 unidade,Exeto acessórios ,tela milimetrica e moldura de aluminio.</t>
  </si>
  <si>
    <t>8.4.7</t>
  </si>
  <si>
    <t>Pele De Vidro Temperado 10 mm Em Moldura de Aluminio Anodizado Natural (fachada Átrio)</t>
  </si>
  <si>
    <t>8.4.8</t>
  </si>
  <si>
    <t>Porta em Pele de vidro 10mm,em Moldura de aluminio Anodizado natural,Inclusive:fechadura,mola e Acessórios.02fls.Dim(1,60x2,80m0=01 unidade.</t>
  </si>
  <si>
    <t>8.4.9</t>
  </si>
  <si>
    <t>Porta de Vidro 10mm,Temperado Transparente,01-folha,Dim.(0,82x2,05m)=05 UNIDADES.Exeto,Ferragens ,Fechadura e Mola.</t>
  </si>
  <si>
    <t>8.4.10</t>
  </si>
  <si>
    <t>Porta E Janela -Fixo/Basculante -Aluminio Anodizado Natural Fechamento em Vidro 6mmTransparente.Exclusive Tela Milimetrica Em moldura de Aluminio Anodizado Natural lado Externo.,Dim (1,60x2,10m) =04 unidade</t>
  </si>
  <si>
    <t>8.4.11</t>
  </si>
  <si>
    <t>Caixilho Fixo ,De Aluminio,com Tela Metal fio12 malha 3x3cm</t>
  </si>
  <si>
    <t>8.4.12</t>
  </si>
  <si>
    <t>Mola Hidraulica de piso para porta de vidro temperado</t>
  </si>
  <si>
    <t>8.4.13</t>
  </si>
  <si>
    <t>Jogo de Ferragens cromada para Portas de VidrosTemperado ,01-folha ,com Fechadura com capuchinho,sem mola e puxador.</t>
  </si>
  <si>
    <t>9.00</t>
  </si>
  <si>
    <t>INSTALAÇÕES ELÉTRICAS</t>
  </si>
  <si>
    <t>9.1</t>
  </si>
  <si>
    <t>Pontos</t>
  </si>
  <si>
    <t>9.1.1</t>
  </si>
  <si>
    <t>9.1.2</t>
  </si>
  <si>
    <t>9.1.3</t>
  </si>
  <si>
    <t>9.1.4</t>
  </si>
  <si>
    <t>9.1.5</t>
  </si>
  <si>
    <t>9.1.6</t>
  </si>
  <si>
    <t>9.1.7</t>
  </si>
  <si>
    <t>9.1.8</t>
  </si>
  <si>
    <t>9.1.9</t>
  </si>
  <si>
    <t>73953/001</t>
  </si>
  <si>
    <t>9.1.10</t>
  </si>
  <si>
    <t>73953/004</t>
  </si>
  <si>
    <t>9.1.11</t>
  </si>
  <si>
    <t>73953/006</t>
  </si>
  <si>
    <t>Luminária flourecente 2x32w</t>
  </si>
  <si>
    <t>9.1.12</t>
  </si>
  <si>
    <t>74041/001</t>
  </si>
  <si>
    <t>Luminária de parede tipo arandela</t>
  </si>
  <si>
    <t>9.2</t>
  </si>
  <si>
    <t>Estrutura CE3MF</t>
  </si>
  <si>
    <t>9.2.1</t>
  </si>
  <si>
    <t>73767/002</t>
  </si>
  <si>
    <t>Alça preformada p/ cabo de aço 9,5mm</t>
  </si>
  <si>
    <t>u</t>
  </si>
  <si>
    <t>9.2.2</t>
  </si>
  <si>
    <t>Arame de aço  galv. 12BWG</t>
  </si>
  <si>
    <t>kg</t>
  </si>
  <si>
    <t>9.2.3</t>
  </si>
  <si>
    <t>Arruela quadrada galv. 38x18x3mm</t>
  </si>
  <si>
    <t>pç</t>
  </si>
  <si>
    <t>9.2.4</t>
  </si>
  <si>
    <t>Cabo de cobre nú 35mm²</t>
  </si>
  <si>
    <t>9.2.5</t>
  </si>
  <si>
    <t>Cabo mensageiro de aço 9,5mm AR ( alta resistência )</t>
  </si>
  <si>
    <t>9.2.6</t>
  </si>
  <si>
    <t>Conector tipo KSU cabo # 50mm²</t>
  </si>
  <si>
    <t>9.2.7</t>
  </si>
  <si>
    <t>Curva 90° de ferro galv. Pesado de 4"</t>
  </si>
  <si>
    <t>9.2.8</t>
  </si>
  <si>
    <t>Eletroduto de ferro galv. Pesado 3/4" x 3000mm</t>
  </si>
  <si>
    <t>9.2.9</t>
  </si>
  <si>
    <t>Fio rígido isolado 6,0mm²</t>
  </si>
  <si>
    <t>9.2.10</t>
  </si>
  <si>
    <t>73781/003</t>
  </si>
  <si>
    <t>Isolador de suspensão polimérico15KV</t>
  </si>
  <si>
    <t>9.2.11</t>
  </si>
  <si>
    <t>Luva de ferro galv. Pesado de 4"</t>
  </si>
  <si>
    <t>9.2.12</t>
  </si>
  <si>
    <t>Manilha sapatilha 5.000 DaN</t>
  </si>
  <si>
    <t>9.2.13</t>
  </si>
  <si>
    <t>73781/001</t>
  </si>
  <si>
    <t>Mufla singela tipo externa para 15KV #70mm² DA 3M ou similar</t>
  </si>
  <si>
    <t>9.2.14</t>
  </si>
  <si>
    <t>Para raio polimérico, 12KV - 10KA</t>
  </si>
  <si>
    <t>9.2.15</t>
  </si>
  <si>
    <t>Parafuso cabeça abaulada galv auto travante 5/8" x 50mm rosca total</t>
  </si>
  <si>
    <t>9.2.16</t>
  </si>
  <si>
    <t>Parafuso de maq.galv. #5/8"x300c/ 150mm rosca</t>
  </si>
  <si>
    <t>9.2.17</t>
  </si>
  <si>
    <t>Porca olhal 16mm - 5.000 DaN</t>
  </si>
  <si>
    <t>9.2.18</t>
  </si>
  <si>
    <t>73783/017</t>
  </si>
  <si>
    <t>Poste de concreto armado duplo T 11-600</t>
  </si>
  <si>
    <t>9.2.19</t>
  </si>
  <si>
    <t>Sapatilha p/ alça preformada 9,5mm</t>
  </si>
  <si>
    <t>9.2.20</t>
  </si>
  <si>
    <t>Tubo de ferro galv. Pesado de 4"</t>
  </si>
  <si>
    <t>9.3</t>
  </si>
  <si>
    <t>Subestação Abrigada</t>
  </si>
  <si>
    <t>9.3.1</t>
  </si>
  <si>
    <t>Bucha de passagem 15KV</t>
  </si>
  <si>
    <t>9.3.2</t>
  </si>
  <si>
    <t>C4539</t>
  </si>
  <si>
    <t>Cabo de cobre 70mm² 12/20KV - pirelli ou similar</t>
  </si>
  <si>
    <t>9.3.3</t>
  </si>
  <si>
    <t>Isolador de porcelana tipo pedestal para 25KV</t>
  </si>
  <si>
    <t>9.3.4</t>
  </si>
  <si>
    <t>Mufla singela tipo interna p/ 70mm² 15KV da 3M ou similar</t>
  </si>
  <si>
    <t>9.3.5</t>
  </si>
  <si>
    <t>C4028</t>
  </si>
  <si>
    <t>Disjuntor de media tensão SF6 15kv, 630 A, 3 polos, 30KA/15Kv, extraível, instalado</t>
  </si>
  <si>
    <t>9.3.6</t>
  </si>
  <si>
    <t>Chave seccionadora tripolar, tipo faca abertura sem carga 15KV, 400A</t>
  </si>
  <si>
    <t>9.3.7</t>
  </si>
  <si>
    <t>Para raio polimérico 12KV/10KA</t>
  </si>
  <si>
    <t>9.3.8</t>
  </si>
  <si>
    <t>Luva de ferro FG de 4"</t>
  </si>
  <si>
    <t>9.3.9</t>
  </si>
  <si>
    <t>73857/010</t>
  </si>
  <si>
    <t>Transformador de força a seco, trifásico, 1000KVA; 13,8KV-delta; 380,220V - estrela, classe de isolamento em média tensão 15KV, taps 13800/13200/12600/12000/11400-380/220V, 60hz.</t>
  </si>
  <si>
    <t>9.3.10</t>
  </si>
  <si>
    <t>Bloco autônomo de emergência com projetores de 55W</t>
  </si>
  <si>
    <t>9.3.11</t>
  </si>
  <si>
    <t>Cabo de cobre 240mm² 1KV - xlpe - epr 90° pirelli ou similar</t>
  </si>
  <si>
    <t>9.3.12</t>
  </si>
  <si>
    <t>Ch. secc. trip., tipo faca abert. s/ carga 15KV, 400A, c/ base p fusível HH Ip 41,9A; Ic 90A</t>
  </si>
  <si>
    <t>9.3.13</t>
  </si>
  <si>
    <t>Chave secc. trip., tipo faca abertura s/ carga 15KV, 400A, c/ base p fusível</t>
  </si>
  <si>
    <t>9.3.14</t>
  </si>
  <si>
    <t>Cordoalha de cobre  nú de 70mm²</t>
  </si>
  <si>
    <t>9.3.15</t>
  </si>
  <si>
    <t>Cordoalha de cobre nú de 50mm²</t>
  </si>
  <si>
    <t>9.3.16</t>
  </si>
  <si>
    <t>Curva de FG de 4" x 90°</t>
  </si>
  <si>
    <t>9.3.17</t>
  </si>
  <si>
    <t>Eletroduto de FG de 4"</t>
  </si>
  <si>
    <t>9.3.18</t>
  </si>
  <si>
    <t>Eletroduto de PVC rígido de 100mm</t>
  </si>
  <si>
    <t>9.3.19</t>
  </si>
  <si>
    <t>Extintor de gás carbônico 6 Kg</t>
  </si>
  <si>
    <t>9.3.20</t>
  </si>
  <si>
    <t>Extintor de pó químico 6 Kg</t>
  </si>
  <si>
    <t>9.3.21</t>
  </si>
  <si>
    <t>Haste de aterramento de aço cobreado de 19x3000mm</t>
  </si>
  <si>
    <t>9.3.22</t>
  </si>
  <si>
    <t>Interruptor simples de uma seção com espelho 2x4</t>
  </si>
  <si>
    <t>9.3.23</t>
  </si>
  <si>
    <t>73953/002</t>
  </si>
  <si>
    <t>Luminária de emergência c/ lâmpada 2x8W fluorescente</t>
  </si>
  <si>
    <t>9.3.24</t>
  </si>
  <si>
    <t>Luminária de sobrepor c/ duas  lâmpadas de 32W fluorescente com reator eletrônico</t>
  </si>
  <si>
    <t>9.3.25</t>
  </si>
  <si>
    <t xml:space="preserve">m </t>
  </si>
  <si>
    <t>9.3.26</t>
  </si>
  <si>
    <t>Tomada 2P+T 20A / 250V</t>
  </si>
  <si>
    <t>9.3.27</t>
  </si>
  <si>
    <t>Tubo de ferro galv.pesado 4"x6000mm com luva</t>
  </si>
  <si>
    <t>9.3.28</t>
  </si>
  <si>
    <t>Tubo FG pesado de 3/4" x 3000mm p/ interligação do comando a chave seccionadora</t>
  </si>
  <si>
    <t>9.3.29</t>
  </si>
  <si>
    <t>Vergalhão de cobre 3/8"</t>
  </si>
  <si>
    <t>9.4</t>
  </si>
  <si>
    <t>Geradores</t>
  </si>
  <si>
    <t>9.4.1</t>
  </si>
  <si>
    <t xml:space="preserve">Bloco autônomo de emergência com projetores de 55W </t>
  </si>
  <si>
    <t>9.4.2</t>
  </si>
  <si>
    <t xml:space="preserve">Caixa de passagem Nº 5 CP 80 </t>
  </si>
  <si>
    <t>9.4.3</t>
  </si>
  <si>
    <t xml:space="preserve">Caixa de passagem Nº6 CP 120 </t>
  </si>
  <si>
    <t>9.4.4</t>
  </si>
  <si>
    <t>Cordoalha  de cobre de 50mm²</t>
  </si>
  <si>
    <t>9.4.5</t>
  </si>
  <si>
    <t xml:space="preserve">Eletroduto de FG # 40mm </t>
  </si>
  <si>
    <t>9.4.6</t>
  </si>
  <si>
    <t>9.4.7</t>
  </si>
  <si>
    <t>9.4.8</t>
  </si>
  <si>
    <t>C3668</t>
  </si>
  <si>
    <t>Grupo gerador 501/635 KVA, c/quadro automático</t>
  </si>
  <si>
    <t>9.4.9</t>
  </si>
  <si>
    <t>9.4.10</t>
  </si>
  <si>
    <t>Ponto de iluminação simples de duas seções com espelho 2x4cm</t>
  </si>
  <si>
    <t>9.4.11</t>
  </si>
  <si>
    <t>Luminária de emergência c/ lâmpada de 2x8W fluorescente</t>
  </si>
  <si>
    <t>9.4.12</t>
  </si>
  <si>
    <t>C1638</t>
  </si>
  <si>
    <t>Luminária de sobrepor c/ duas  lâmpadas 32W fluorescente com reator eletrônico</t>
  </si>
  <si>
    <t>9.4.13</t>
  </si>
  <si>
    <t>9.4.14</t>
  </si>
  <si>
    <t xml:space="preserve">Ponto de Tomada 2P+T 20A </t>
  </si>
  <si>
    <t>Armário elétrico QDG</t>
  </si>
  <si>
    <t>9.4.15</t>
  </si>
  <si>
    <t>Armario elétrico by- pass grupo geradores barramento 4.500A</t>
  </si>
  <si>
    <t>9.4.16</t>
  </si>
  <si>
    <t>Alimentadores</t>
  </si>
  <si>
    <t>9.4.17</t>
  </si>
  <si>
    <t>Cabo de cobre 10mm² Flexível isolado 1KV</t>
  </si>
  <si>
    <t>9.4.18</t>
  </si>
  <si>
    <t>Cabo de cobre 120mm² Flexível isolado 1KV</t>
  </si>
  <si>
    <t>9.4.19</t>
  </si>
  <si>
    <t>Cabo de cobre 16mm² Flexível isolado 1KV</t>
  </si>
  <si>
    <t>9.4.20</t>
  </si>
  <si>
    <t xml:space="preserve">Cabo de cobre 185mm² flexível isolado 1KV </t>
  </si>
  <si>
    <t>9.4.21</t>
  </si>
  <si>
    <t>Cabo de cobre 240mm² Flexível isolado 1KV</t>
  </si>
  <si>
    <t>9.4.22</t>
  </si>
  <si>
    <t>Cabo de cobre 25mm² Flexível isolado 1KV</t>
  </si>
  <si>
    <t>9.4.23</t>
  </si>
  <si>
    <t>Cabo de cobre 35mm² Flexível 1KV</t>
  </si>
  <si>
    <t>9.4.24</t>
  </si>
  <si>
    <t>Cabo de cobre 4mm² Flexível isolado branco 1KV</t>
  </si>
  <si>
    <t>9.4.25</t>
  </si>
  <si>
    <t>Cabo de cobre 50mm² Flexível isolado 1KV</t>
  </si>
  <si>
    <t>9.4.26</t>
  </si>
  <si>
    <t>Cabo de cobre 6mm² Flexivel isolado 1KV</t>
  </si>
  <si>
    <t>9.4.27</t>
  </si>
  <si>
    <t>Cabo de cobre 70mm² Flexível isolado 1KV</t>
  </si>
  <si>
    <t>9.4.28</t>
  </si>
  <si>
    <t>Cabo de cobre 95mm² Flexível isolado 1KV</t>
  </si>
  <si>
    <t>9.4.29</t>
  </si>
  <si>
    <t>C1155</t>
  </si>
  <si>
    <t>9.4.30</t>
  </si>
  <si>
    <t>C1160</t>
  </si>
  <si>
    <t>9.4.31</t>
  </si>
  <si>
    <t>9.4.32</t>
  </si>
  <si>
    <t>Eletroduto de PVC rígido 100mm</t>
  </si>
  <si>
    <t>9.4.33</t>
  </si>
  <si>
    <t>Eletroduto de PVC rígido 25mm</t>
  </si>
  <si>
    <t>9.4.34</t>
  </si>
  <si>
    <t>Eletroduto de PVC rígido 32mm</t>
  </si>
  <si>
    <t>9.4.35</t>
  </si>
  <si>
    <t>Eletroduto de PVC rígido 45mm</t>
  </si>
  <si>
    <t>9.4.36</t>
  </si>
  <si>
    <t>Eletroduto de PVC rígido 65mm</t>
  </si>
  <si>
    <t>9.4.37</t>
  </si>
  <si>
    <t>Eletroduto de PVC rígido 75mm</t>
  </si>
  <si>
    <t>9.4.38</t>
  </si>
  <si>
    <t>Eletroduto de PVC rígido 85mm</t>
  </si>
  <si>
    <t>9.4.39</t>
  </si>
  <si>
    <t>C0626</t>
  </si>
  <si>
    <t>Caixa de Passagem Nº 1 cp 10</t>
  </si>
  <si>
    <t>9.4.40</t>
  </si>
  <si>
    <t>C0628</t>
  </si>
  <si>
    <t>Caixa de Passagem Nº 2 CP 20</t>
  </si>
  <si>
    <t>9.4.41</t>
  </si>
  <si>
    <t>C0629</t>
  </si>
  <si>
    <t>Caixa de Passagem Nº 3 CP 40</t>
  </si>
  <si>
    <t>9.4.42</t>
  </si>
  <si>
    <t>Caixa de Passagem Nº 5 CP 80</t>
  </si>
  <si>
    <t>9.4.43</t>
  </si>
  <si>
    <t>Caixa de Passagem Nº 6 CP 120</t>
  </si>
  <si>
    <t>9.5</t>
  </si>
  <si>
    <t>Quadros Elétricos</t>
  </si>
  <si>
    <t>9.5.1</t>
  </si>
  <si>
    <t>74131/005</t>
  </si>
  <si>
    <t xml:space="preserve">Quadro de barramento 125A p/24 circuitos </t>
  </si>
  <si>
    <t>9.5.2</t>
  </si>
  <si>
    <t>74131/004</t>
  </si>
  <si>
    <t>Quadro de barramento 100A p/ 12 circuitos</t>
  </si>
  <si>
    <t>9.5.3</t>
  </si>
  <si>
    <t>Quadro de barramento 100A p/ 18 circuitos</t>
  </si>
  <si>
    <t>9.5.4</t>
  </si>
  <si>
    <t>Quadro de barramento 100A p/ 20 circuitos</t>
  </si>
  <si>
    <t>9.5.5</t>
  </si>
  <si>
    <t>Quadro de barramento 100A p/ 24 circuitos</t>
  </si>
  <si>
    <t>9.5.6</t>
  </si>
  <si>
    <t>74131/006</t>
  </si>
  <si>
    <t>Quadro de barramento 100A p/ 30 circuitos</t>
  </si>
  <si>
    <t>9.5.7</t>
  </si>
  <si>
    <t>Quadro de barramento 100A p/ 32 circuitos</t>
  </si>
  <si>
    <t>9.5.8</t>
  </si>
  <si>
    <t>Quadro de barramento 100A p/ 34 circuitos</t>
  </si>
  <si>
    <t>9.5.9</t>
  </si>
  <si>
    <t>Quadro de barramento 100A p/ 36 circuitos</t>
  </si>
  <si>
    <t>9.6</t>
  </si>
  <si>
    <t>Disjuntores</t>
  </si>
  <si>
    <t>9.6.1</t>
  </si>
  <si>
    <t>74130/001</t>
  </si>
  <si>
    <t>Disjuntor monofásico termomagnético 10A</t>
  </si>
  <si>
    <t>9.6.2</t>
  </si>
  <si>
    <t>Disjuntor monofásico termomagnético 16A, 3KA</t>
  </si>
  <si>
    <t>9.6.3</t>
  </si>
  <si>
    <t>Disjuntor monofásico termomagnético 20A, 3KA</t>
  </si>
  <si>
    <t>9.6.4</t>
  </si>
  <si>
    <t>Disjuntor monofásico termomagnético 25A, 3KA</t>
  </si>
  <si>
    <t>9.6.5</t>
  </si>
  <si>
    <t>Disjuntor monofásico termomagnético 32A, 3KA</t>
  </si>
  <si>
    <t>9.6.6</t>
  </si>
  <si>
    <t>74130/005</t>
  </si>
  <si>
    <t>Disjuntor trifásico termomagnético 100A, 10KA</t>
  </si>
  <si>
    <t>9.6.7</t>
  </si>
  <si>
    <t>74130/006</t>
  </si>
  <si>
    <t>Disjuntor trifásico termomagnético 125A, 6KA</t>
  </si>
  <si>
    <t>9.6.8</t>
  </si>
  <si>
    <t>74130/010</t>
  </si>
  <si>
    <t>Disjuntor trifásico termomagnético 200A, 10KA</t>
  </si>
  <si>
    <t>9.6.9</t>
  </si>
  <si>
    <t>74130/004</t>
  </si>
  <si>
    <t>Disjuntor trifásico termomagnético 20A, 3KA</t>
  </si>
  <si>
    <t>9.6.10</t>
  </si>
  <si>
    <t>Disjuntor trifásico termomagnético 225A, 10KA</t>
  </si>
  <si>
    <t>9.6.11</t>
  </si>
  <si>
    <t>Disjuntor trifásico termomagnético 25A, 3KA</t>
  </si>
  <si>
    <t>9.6.12</t>
  </si>
  <si>
    <t>74130/008</t>
  </si>
  <si>
    <t>Disjuntor trifásico termomagnético 300A, 10KA</t>
  </si>
  <si>
    <t>9.6.13</t>
  </si>
  <si>
    <t>Disjuntor trifásico termomagnético 32A, 3KA</t>
  </si>
  <si>
    <t>9.6.14</t>
  </si>
  <si>
    <t>Disjuntor trifásico termomagnético 50A, 3KA</t>
  </si>
  <si>
    <t>9.6.15</t>
  </si>
  <si>
    <t>Disjuntor trifásico termomagnético 63A, 3KA</t>
  </si>
  <si>
    <t>9.6.16</t>
  </si>
  <si>
    <t>Disjuntor trifásico termomagnético 80A, 3KA</t>
  </si>
  <si>
    <t>10.00</t>
  </si>
  <si>
    <t>INSTALAÇÕES HIDRÁULICAS</t>
  </si>
  <si>
    <t>10.01</t>
  </si>
  <si>
    <t xml:space="preserve"> 00000778 </t>
  </si>
  <si>
    <t>Bucha de reducao de ferro galvanizado, com rosca bsp, de 3" x 2"</t>
  </si>
  <si>
    <t>UN</t>
  </si>
  <si>
    <t>10.02</t>
  </si>
  <si>
    <t xml:space="preserve"> 00000781 </t>
  </si>
  <si>
    <t>Bucha de reducao de ferro galvanizado, com rosca bsp, de 4" x 2 1/2"</t>
  </si>
  <si>
    <t>10.03</t>
  </si>
  <si>
    <t xml:space="preserve"> 00000782 </t>
  </si>
  <si>
    <t>Bucha de reducao de ferro galvanizado, com rosca bsp, de 4" x 3"</t>
  </si>
  <si>
    <t>10.04</t>
  </si>
  <si>
    <t xml:space="preserve"> 00003454 </t>
  </si>
  <si>
    <t>Cotovelo 90 graus de ferro galvanizado, com rosca bsp macho/femea, de 3"</t>
  </si>
  <si>
    <t>10.05</t>
  </si>
  <si>
    <t xml:space="preserve"> 00003469 </t>
  </si>
  <si>
    <t>Cotovelo 90 graus de ferro galvanizado, com rosca bsp, de 4"</t>
  </si>
  <si>
    <t>10.06</t>
  </si>
  <si>
    <t xml:space="preserve"> 00003540 </t>
  </si>
  <si>
    <t>Joelho pvc sold 90g p/agua fria predial 50 mm</t>
  </si>
  <si>
    <t>10.07</t>
  </si>
  <si>
    <t xml:space="preserve"> 00006010 </t>
  </si>
  <si>
    <t>Registro gaveta bruto em latao forjado, bitola 1 1/2 " (ref 1509)</t>
  </si>
  <si>
    <t>10.08</t>
  </si>
  <si>
    <t xml:space="preserve"> 00006011 </t>
  </si>
  <si>
    <t>Registro gaveta bruto em latao forjado, bitola 2 1/2 " (ref 1509)</t>
  </si>
  <si>
    <t>10.09</t>
  </si>
  <si>
    <t xml:space="preserve"> 00006012 </t>
  </si>
  <si>
    <t>Registro gaveta bruto em latao forjado, bitola 3 " (ref 1509)</t>
  </si>
  <si>
    <t>10.10</t>
  </si>
  <si>
    <t xml:space="preserve"> 00006027 </t>
  </si>
  <si>
    <t>Registro gaveta bruto em latao forjado, bitola 4 " (ref 1509)</t>
  </si>
  <si>
    <t>10.11</t>
  </si>
  <si>
    <t xml:space="preserve"> 00006028 </t>
  </si>
  <si>
    <t>Registro gaveta bruto em latao forjado, bitola 2 " (ref 1509)</t>
  </si>
  <si>
    <t>10.12</t>
  </si>
  <si>
    <t xml:space="preserve"> 00006300 </t>
  </si>
  <si>
    <t>Te ferro galvanizado 90g 4"</t>
  </si>
  <si>
    <t>10.13</t>
  </si>
  <si>
    <t xml:space="preserve"> 00006322 </t>
  </si>
  <si>
    <t>Te ferro galvanizado 90g 3"</t>
  </si>
  <si>
    <t>10.14</t>
  </si>
  <si>
    <t xml:space="preserve"> 00009863 </t>
  </si>
  <si>
    <t>Tubo pvc, roscavel,  2 1/2", agua fria predial</t>
  </si>
  <si>
    <t>10.15</t>
  </si>
  <si>
    <t xml:space="preserve"> 00009890 </t>
  </si>
  <si>
    <t>Uniao de ferro galvanizado, com rosca bsp, com assento plano, de 3"</t>
  </si>
  <si>
    <t>10.16</t>
  </si>
  <si>
    <t xml:space="preserve"> 00009891 </t>
  </si>
  <si>
    <t>Uniao de ferro galvanizado, com rosca bsp, com assento plano, de 4"</t>
  </si>
  <si>
    <t>10.17</t>
  </si>
  <si>
    <t xml:space="preserve"> 00010235 </t>
  </si>
  <si>
    <t>Valvula de retencao de bronze, pe com crivos, extremidade com rosca, de 3", para fundo de poco</t>
  </si>
  <si>
    <t>10.18</t>
  </si>
  <si>
    <t xml:space="preserve"> 00010415 </t>
  </si>
  <si>
    <t>Valvula de retencao vertical, de bronze (pn-16), 4", 200 psi, extremidades com rosca</t>
  </si>
  <si>
    <t>10.19</t>
  </si>
  <si>
    <t xml:space="preserve"> 00011763 </t>
  </si>
  <si>
    <t>Torneira de boia real 1.1/2" c/ balao plastico</t>
  </si>
  <si>
    <t>10.20</t>
  </si>
  <si>
    <t xml:space="preserve"> 00012721 </t>
  </si>
  <si>
    <t>Cotovelo de cobre 90 graus (ref 607) sem anel de solda, bolsa x bolsa, 79 mm</t>
  </si>
  <si>
    <t>10.21</t>
  </si>
  <si>
    <t>Cotovelo de cobre 79mm, ligação soldada - fornecimento e instalação</t>
  </si>
  <si>
    <t>10.22</t>
  </si>
  <si>
    <t>Registro de gaveta com canopla ø 25mm (1) - fornecimento e instalação</t>
  </si>
  <si>
    <t>10.23</t>
  </si>
  <si>
    <t xml:space="preserve"> 73796/006 </t>
  </si>
  <si>
    <t>Válvula de pé com crivo ø 80mm (3") - fornecimento e instalação</t>
  </si>
  <si>
    <t>10.24</t>
  </si>
  <si>
    <t xml:space="preserve"> 73887/002 </t>
  </si>
  <si>
    <t>Assentamento simples de tubos de ferro fundido (fofo) c/ junta elastica - dn 100 - inclusive transporte</t>
  </si>
  <si>
    <t>10.25</t>
  </si>
  <si>
    <t>C2572</t>
  </si>
  <si>
    <t>Tubo de cobre classe "e" 79mm - fornecimento e instalacao</t>
  </si>
  <si>
    <t>10.26</t>
  </si>
  <si>
    <t xml:space="preserve"> 74102/001 </t>
  </si>
  <si>
    <t>Caixa para hidrometro concreto pre-moldado - fornecimento e instalacao</t>
  </si>
  <si>
    <t>10.27</t>
  </si>
  <si>
    <t>Registro gaveta 2" bruto latao - fornecimento e instalacao</t>
  </si>
  <si>
    <t>10.28</t>
  </si>
  <si>
    <t xml:space="preserve"> 83644 </t>
  </si>
  <si>
    <t>Bomba recalque d'agua trifasica 10,0 hp</t>
  </si>
  <si>
    <t>10.29</t>
  </si>
  <si>
    <t xml:space="preserve"> 89356 </t>
  </si>
  <si>
    <t>Tubo, pvc, soldável, dn 25mm, instalado em ramal ou sub-ramal de água - fornecimento e instalação. Af_12/2014_p</t>
  </si>
  <si>
    <t>10.30</t>
  </si>
  <si>
    <t xml:space="preserve"> 89362 </t>
  </si>
  <si>
    <t>Joelho 90 graus, pvc, soldável, dn 25mm, instalado em ramal ou sub-ramal de água - fornecimento e instalação. Af_12/2014_p</t>
  </si>
  <si>
    <t>10.31</t>
  </si>
  <si>
    <t xml:space="preserve"> 89366 </t>
  </si>
  <si>
    <t>Joelho 90 graus com bucha de latão, pvc, soldável, dn 25mm, x 3/4" instalado em ramal ou sub-ramal de água - fornecimento e instalação. Af_12/2014_p</t>
  </si>
  <si>
    <t>10.32</t>
  </si>
  <si>
    <t xml:space="preserve"> 89379 </t>
  </si>
  <si>
    <t>Luva de correr, pvc, soldável, dn 25mm, instalado em ramal ou sub-ramal de água - fornecimento e instalação. Af_12/2014_p</t>
  </si>
  <si>
    <t>10.33</t>
  </si>
  <si>
    <t xml:space="preserve"> 89381 </t>
  </si>
  <si>
    <t>Luva com bucha de latão, pvc, soldável, dn 25mm x 3/4", instalado em ramal ou sub-ramal de água - fornecimento e instalação. Af_12/2014_p</t>
  </si>
  <si>
    <t>10.34</t>
  </si>
  <si>
    <t xml:space="preserve"> 89449 </t>
  </si>
  <si>
    <t>Tubo, pvc, soldável, dn 50mm, instalado em prumada de água - fornecimento e instalação. Af_12/2014_p</t>
  </si>
  <si>
    <t>10.35</t>
  </si>
  <si>
    <t xml:space="preserve"> 89450 </t>
  </si>
  <si>
    <t>Tubo, pvc, soldável, dn 60mm, instalado em prumada de água - fornecimento e instalação. Af_12/2014_p</t>
  </si>
  <si>
    <t>10.36</t>
  </si>
  <si>
    <t xml:space="preserve"> 89451 </t>
  </si>
  <si>
    <t>Tubo, pvc, soldável, dn 75mm, instalado em prumada de água - fornecimento e instalação. Af_12/2014_p</t>
  </si>
  <si>
    <t>10.37</t>
  </si>
  <si>
    <t xml:space="preserve"> 89485 </t>
  </si>
  <si>
    <t>Joelho 45 graus, pvc, soldável, dn 25mm, instalado em prumada de água - fornecimento e instalação. Af_12/2014_p</t>
  </si>
  <si>
    <t>10.38</t>
  </si>
  <si>
    <t xml:space="preserve"> 89501 </t>
  </si>
  <si>
    <t>Joelho 90 graus, pvc, soldável, dn 50mm, instalado em prumada de água - fornecimento e instalação. Af_12/2014_p</t>
  </si>
  <si>
    <t>10.39</t>
  </si>
  <si>
    <t xml:space="preserve"> 89502 </t>
  </si>
  <si>
    <t>Joelho 45 graus, pvc, soldável, dn 50mm, instalado em prumada de água - fornecimento e instalação. Af_12/2014_p</t>
  </si>
  <si>
    <t>10.40</t>
  </si>
  <si>
    <t xml:space="preserve"> 89505 </t>
  </si>
  <si>
    <t>Joelho 90 graus, pvc, soldável, dn 60mm, instalado em prumada de água - fornecimento e instalação. Af_12/2014_p</t>
  </si>
  <si>
    <t>10.41</t>
  </si>
  <si>
    <t xml:space="preserve"> 89513 </t>
  </si>
  <si>
    <t>Joelho 90 graus, pvc, soldável, dn 75mm, instalado em prumada de água - fornecimento e instalação. Af_12/2014_p</t>
  </si>
  <si>
    <t>10.42</t>
  </si>
  <si>
    <t xml:space="preserve"> 89627 </t>
  </si>
  <si>
    <t>Tê de redução, pvc, soldável, dn 50mm x 25mm, instalado em prumada de água - fornecimento e instalação. Af_12/2014_p</t>
  </si>
  <si>
    <t>10.43</t>
  </si>
  <si>
    <t xml:space="preserve"> 89973 </t>
  </si>
  <si>
    <t>Kit de misturador base bruta de latão ¾" monocomando para chuveiro, inclusive conexões, instalado em ramal de água - fornecimento e instalação. Af_12/2014</t>
  </si>
  <si>
    <t>10.44</t>
  </si>
  <si>
    <t xml:space="preserve"> 89985 </t>
  </si>
  <si>
    <t>Registro de pressão bruto, latão, roscável, 3/4", com acabamento e canopla cromados. Fornecido e instalado em ramal de água. Af_12/2014</t>
  </si>
  <si>
    <t>10.45</t>
  </si>
  <si>
    <t xml:space="preserve"> 89987 </t>
  </si>
  <si>
    <t>Registro de gaveta bruto, latão, roscável, 3/4", com acabamento e canopla cromados. Fornecido e instalado em ramal de água. Af_12/2014</t>
  </si>
  <si>
    <t>10.46</t>
  </si>
  <si>
    <t xml:space="preserve"> 90443 </t>
  </si>
  <si>
    <t>Rasgo em alvenaria para ramais/ distribuição com diametros menores ou iguais a 40 mm. Af_05/2015</t>
  </si>
  <si>
    <t>10.47</t>
  </si>
  <si>
    <t xml:space="preserve"> 90466 </t>
  </si>
  <si>
    <t>Chumbamento linear em alvenaria para ramais/distribuição com diâmetros menores ou iguais a 40 mm. Af_05/2015</t>
  </si>
  <si>
    <t>10.48</t>
  </si>
  <si>
    <t xml:space="preserve"> 91788 </t>
  </si>
  <si>
    <t>Instalação de tubos de pvc, soldável, água fria, dn 50 mm (instalado em prumada), inclusive conexões, cortes e fixações, para prédios. Af_10/2015_p</t>
  </si>
  <si>
    <t>10.49</t>
  </si>
  <si>
    <t xml:space="preserve"> 92290 </t>
  </si>
  <si>
    <t>Cotovelo de cobre, 90 graus, sem anel de solda, dn 42 mm, instalado em prumada - fornecimento e instalação. Af_12/2015_p</t>
  </si>
  <si>
    <t>10.50</t>
  </si>
  <si>
    <t xml:space="preserve"> 92327 </t>
  </si>
  <si>
    <t>Cotovelo de cobre, 90 graus, sem anel de solda, dn 22 mm, instalado em ramal e sub-ramal - fornecimento e instalação. Af_12/2015_p</t>
  </si>
  <si>
    <t>10.51</t>
  </si>
  <si>
    <t xml:space="preserve"> 92328 </t>
  </si>
  <si>
    <t>Cotovelo de cobre, 90 graus, sem anel de solda, dn 28 mm, instalado em ramal e sub-ramal - fornecimento e instalação. Af_12/2015_p</t>
  </si>
  <si>
    <t>10.52</t>
  </si>
  <si>
    <t xml:space="preserve"> 93099 </t>
  </si>
  <si>
    <t>Curva em cobre, 45 graus, sem anel de solda, bolsa x bolsa, dn 22 mm, instalado em ramal e sub-ramal   fornecimento e instalação. Af_01/2016_p</t>
  </si>
  <si>
    <t>10.53</t>
  </si>
  <si>
    <t xml:space="preserve"> 93102 </t>
  </si>
  <si>
    <t>Curva em cobre, 45 graus, sem anel de solda, bolsa x bolsa, dn 28 mm, instalado em ramal e sub-ramal   fornecimento e instalação. Af_01/2016_p</t>
  </si>
  <si>
    <t>10.54</t>
  </si>
  <si>
    <t xml:space="preserve"> 93133 </t>
  </si>
  <si>
    <t>Bucha de redução em cobre, sem anel de solda, ponta x bolsa, 28 x 22 mm, instalado em ramal e sub-ramal   fornecimento e instalação. Af_01/2016_p</t>
  </si>
  <si>
    <t>10.55</t>
  </si>
  <si>
    <t xml:space="preserve"> C0386 </t>
  </si>
  <si>
    <t>Bebedouro em aço inox com 1,60m</t>
  </si>
  <si>
    <t>10.56</t>
  </si>
  <si>
    <t xml:space="preserve"> C0492 </t>
  </si>
  <si>
    <t>Bucha redução pvc rosc. D=1 1/2</t>
  </si>
  <si>
    <t>10.57</t>
  </si>
  <si>
    <t xml:space="preserve"> C0498 </t>
  </si>
  <si>
    <t>Bucha redução pvc rosc. D=2 1/2"x1 1/2" (75x50mm)</t>
  </si>
  <si>
    <t>10.58</t>
  </si>
  <si>
    <t xml:space="preserve"> C0501 </t>
  </si>
  <si>
    <t>Bucha redução pvc rosc. D=2</t>
  </si>
  <si>
    <t>10.59</t>
  </si>
  <si>
    <t xml:space="preserve"> C0981 </t>
  </si>
  <si>
    <t>Cruzeta pvc sold. Marrom d=50mm (1 1/2")</t>
  </si>
  <si>
    <t>10.60</t>
  </si>
  <si>
    <t xml:space="preserve"> C1151 </t>
  </si>
  <si>
    <t>Ducha p/ wc cromado (instalado)</t>
  </si>
  <si>
    <t>10.61</t>
  </si>
  <si>
    <t xml:space="preserve"> C1368 </t>
  </si>
  <si>
    <t>Filtro de parede industrial (instalado)</t>
  </si>
  <si>
    <t>10.62</t>
  </si>
  <si>
    <t xml:space="preserve"> C1545 </t>
  </si>
  <si>
    <t>Joelho ou curva pvc rosc. D=2" (60mm)</t>
  </si>
  <si>
    <t>10.63</t>
  </si>
  <si>
    <t xml:space="preserve"> C1548 </t>
  </si>
  <si>
    <t>Joelho ou curva pvc rosc. D=4</t>
  </si>
  <si>
    <t>10.64</t>
  </si>
  <si>
    <t xml:space="preserve"> C1727 </t>
  </si>
  <si>
    <t>Luva pvc sold. Azul c/rosca met. D=25mmx3/4"</t>
  </si>
  <si>
    <t>10.65</t>
  </si>
  <si>
    <t xml:space="preserve"> C2065 </t>
  </si>
  <si>
    <t>Quadro de comando de bombas - completo</t>
  </si>
  <si>
    <t>10.66</t>
  </si>
  <si>
    <t xml:space="preserve"> C2161 </t>
  </si>
  <si>
    <t>Registro de gaveta bruto d= 50mm (2")</t>
  </si>
  <si>
    <t>10.67</t>
  </si>
  <si>
    <t xml:space="preserve"> C2169 </t>
  </si>
  <si>
    <t>Registro de gaveta c/canopla cromada d= 40mm (1 1/2")</t>
  </si>
  <si>
    <t>10.68</t>
  </si>
  <si>
    <t xml:space="preserve"> C2333 </t>
  </si>
  <si>
    <t>Tê cobre ou bronze d= 22mm (3/4")</t>
  </si>
  <si>
    <t>10.69</t>
  </si>
  <si>
    <t xml:space="preserve"> C2334 </t>
  </si>
  <si>
    <t>Tê cobre ou bronze d= 28mm (1")</t>
  </si>
  <si>
    <t>10.70</t>
  </si>
  <si>
    <t xml:space="preserve"> C2335 </t>
  </si>
  <si>
    <t>Tê cobre ou bronze d= 35mm (1 1/4")</t>
  </si>
  <si>
    <t>10.71</t>
  </si>
  <si>
    <t xml:space="preserve"> C2336 </t>
  </si>
  <si>
    <t>Tê cobre ou bronze d= 42mm (1 1/2")</t>
  </si>
  <si>
    <t>10.72</t>
  </si>
  <si>
    <t xml:space="preserve"> C2381 </t>
  </si>
  <si>
    <t>Tê pvc sold. Marrom d= 25mm (3/4")</t>
  </si>
  <si>
    <t>10.73</t>
  </si>
  <si>
    <t xml:space="preserve"> C2384 </t>
  </si>
  <si>
    <t>Tê pvc sold. Marrom d= 50mm (1 1/2")</t>
  </si>
  <si>
    <t>10.74</t>
  </si>
  <si>
    <t xml:space="preserve"> C2385 </t>
  </si>
  <si>
    <t>Tê pvc sold. Marrom d= 60mm (2")</t>
  </si>
  <si>
    <t>10.75</t>
  </si>
  <si>
    <t xml:space="preserve"> C2506 </t>
  </si>
  <si>
    <t>Torneira de pressão p/jardim de 3/4"</t>
  </si>
  <si>
    <t>10.76</t>
  </si>
  <si>
    <t xml:space="preserve"> C2566 </t>
  </si>
  <si>
    <t>Tubo cobre d= 22mm (3/4") classe e</t>
  </si>
  <si>
    <t>10.77</t>
  </si>
  <si>
    <t xml:space="preserve"> C2567 </t>
  </si>
  <si>
    <t>Tubo cobre d= 28mm (1") classe e</t>
  </si>
  <si>
    <t>10.78</t>
  </si>
  <si>
    <t xml:space="preserve"> C2568 </t>
  </si>
  <si>
    <t>Tubo cobre d= 35mm (1 1/4") classe e</t>
  </si>
  <si>
    <t>10.79</t>
  </si>
  <si>
    <t xml:space="preserve"> C2569 </t>
  </si>
  <si>
    <t>Tubo cobre d= 42mm (1 1/2") classe e</t>
  </si>
  <si>
    <t>10.80</t>
  </si>
  <si>
    <t xml:space="preserve"> C2570 </t>
  </si>
  <si>
    <t>Tubo cobre d= 54mm (2") classe e</t>
  </si>
  <si>
    <t>10.81</t>
  </si>
  <si>
    <t xml:space="preserve"> C2571 </t>
  </si>
  <si>
    <t>Tubo cobre d= 66mm (2 1/2") classe e</t>
  </si>
  <si>
    <t>10.82</t>
  </si>
  <si>
    <t xml:space="preserve"> C2572 </t>
  </si>
  <si>
    <t>Tubo cobre d= 79mm (3") classe e</t>
  </si>
  <si>
    <t>10.83</t>
  </si>
  <si>
    <t xml:space="preserve"> C2623 </t>
  </si>
  <si>
    <t>Tubo pvc sold. Marrom d=110mm (4")</t>
  </si>
  <si>
    <t>10.84</t>
  </si>
  <si>
    <t xml:space="preserve"> C2686 </t>
  </si>
  <si>
    <t>Válvula de descarga pvc rígido s/registro .acoplado. D=50mm (1 1/2")</t>
  </si>
  <si>
    <t>10.85</t>
  </si>
  <si>
    <t xml:space="preserve"> C2958 </t>
  </si>
  <si>
    <t>Substituição ou instalação de hidrômetro em cavalete montado (caso e,n)</t>
  </si>
  <si>
    <t>10.86</t>
  </si>
  <si>
    <t xml:space="preserve"> C3457 </t>
  </si>
  <si>
    <t>Montagem das instalações hidro-sanitárias das elevatórias</t>
  </si>
  <si>
    <t>10.87</t>
  </si>
  <si>
    <t xml:space="preserve"> C3472 </t>
  </si>
  <si>
    <t>Montagem barrilete filtro fibra, kit</t>
  </si>
  <si>
    <t>10.88</t>
  </si>
  <si>
    <t xml:space="preserve"> C3513 </t>
  </si>
  <si>
    <t>Chuveiro cromado c/ articulação</t>
  </si>
  <si>
    <t>10.89</t>
  </si>
  <si>
    <t xml:space="preserve"> CP-0003 </t>
  </si>
  <si>
    <t>Bucha de redução em cobre, sem anel de solda, ponta x bolsa, 79x66mm instalado em ramal e sub-ramal, fornecimento e instalação.</t>
  </si>
  <si>
    <t>10.90</t>
  </si>
  <si>
    <t xml:space="preserve"> CP-0004 </t>
  </si>
  <si>
    <t>Bucha de redução em cobre, sem anel de solda, ponta x bolsa, 66x42mm instalado em ramal e sub-ramal, fornecimento e instalação.</t>
  </si>
  <si>
    <t>10.91</t>
  </si>
  <si>
    <t xml:space="preserve"> CP-0005 </t>
  </si>
  <si>
    <t>Bucha de redução em cobre, sem anel de solda, ponta x bolsa, 42x22mm instalado em ramal e sub-ramal, fornecimento e instalação.</t>
  </si>
  <si>
    <t>10.92</t>
  </si>
  <si>
    <t xml:space="preserve"> CP-0009 </t>
  </si>
  <si>
    <t>Conjunto de redução com te/bucha de redução de cobre, 42x35mm, fornecimento e instalação</t>
  </si>
  <si>
    <t>10.93</t>
  </si>
  <si>
    <t xml:space="preserve"> CP-0010 </t>
  </si>
  <si>
    <t>Bucha de reducao de pvc, soldavel, longa, com 110 x 60 mm, para agua fria predial</t>
  </si>
  <si>
    <t>10.94</t>
  </si>
  <si>
    <t xml:space="preserve"> CP-0011 </t>
  </si>
  <si>
    <t>Bucha de reducao de pvc, soldavel, longa, com 60 x 25 mm, para agua fria predial</t>
  </si>
  <si>
    <t>10.95</t>
  </si>
  <si>
    <t xml:space="preserve"> CP-0012 </t>
  </si>
  <si>
    <t>Conjunto de redução te/bucha pvc, 60x50mm, fornecimento e instalação</t>
  </si>
  <si>
    <t>10.96</t>
  </si>
  <si>
    <t xml:space="preserve"> CP-0013 </t>
  </si>
  <si>
    <t>Conjunto de redução tê/bucha de pvc, 60x25mm, fornecimento e instalação</t>
  </si>
  <si>
    <t>10.97</t>
  </si>
  <si>
    <t xml:space="preserve"> CP-0014 </t>
  </si>
  <si>
    <t>Bucha de reducao de pvc, soldavel, com 75 x 60 mm, para agua fria predial</t>
  </si>
  <si>
    <t>10.98</t>
  </si>
  <si>
    <t xml:space="preserve"> CP-0020 </t>
  </si>
  <si>
    <t>Te de redução de cobre, 28x22mm, fornecimento e instalação</t>
  </si>
  <si>
    <t>10.99</t>
  </si>
  <si>
    <t xml:space="preserve"> CP-0021 </t>
  </si>
  <si>
    <t>Te, 90 graus, pvc rígido soldavel, llr, c/bucha latão central, d= 25 x 3/4", fornecimento e instalação</t>
  </si>
  <si>
    <t>10.100</t>
  </si>
  <si>
    <t xml:space="preserve"> CP-0022 </t>
  </si>
  <si>
    <t>Chave reversora - fornecimento e instação</t>
  </si>
  <si>
    <t>10.101</t>
  </si>
  <si>
    <t xml:space="preserve"> CP-0023 </t>
  </si>
  <si>
    <t>Montagem de tubos, conexões e pçs, elevatória</t>
  </si>
  <si>
    <t>10.102</t>
  </si>
  <si>
    <t xml:space="preserve"> CP-0030 </t>
  </si>
  <si>
    <t>Bucha de pvc, 75x60mm, fornecimento e instalação</t>
  </si>
  <si>
    <t>10.103</t>
  </si>
  <si>
    <t xml:space="preserve"> CP-0031 </t>
  </si>
  <si>
    <t>Bucha de pvc, 110x75mm, fornecimento e instalação</t>
  </si>
  <si>
    <t>10.104</t>
  </si>
  <si>
    <t xml:space="preserve"> CP-0032 </t>
  </si>
  <si>
    <t>Tê de redução, pvc, soldável, dn 110mm x 75mm - fornecimento e instalação</t>
  </si>
  <si>
    <t>10.105</t>
  </si>
  <si>
    <t xml:space="preserve"> CP-0033 </t>
  </si>
  <si>
    <t>Tê de redução, pvc, soldável, dn 75mm x 50mm - fornecimento e instalação</t>
  </si>
  <si>
    <t>10.106</t>
  </si>
  <si>
    <t xml:space="preserve"> CP-0034 </t>
  </si>
  <si>
    <t>Tê de redução, pvc, soldável, dn 75mm x 60mm - fornecimento e instalação</t>
  </si>
  <si>
    <t>10.107</t>
  </si>
  <si>
    <t xml:space="preserve"> CP-0035 </t>
  </si>
  <si>
    <t>Bucha de redução de cobre, 54mm x 28mm, fornecimento e instalação</t>
  </si>
  <si>
    <t>10.108</t>
  </si>
  <si>
    <t xml:space="preserve"> CP-0036 </t>
  </si>
  <si>
    <t>Bucha de redução de cobre, 42mm x 28mm, fornecimento e instalação</t>
  </si>
  <si>
    <t>10.109</t>
  </si>
  <si>
    <t xml:space="preserve"> CP-0037 </t>
  </si>
  <si>
    <t>Bucha de redução de cobre, 79mm x 54mm, fornecimento e instalação</t>
  </si>
  <si>
    <t>10.110</t>
  </si>
  <si>
    <t xml:space="preserve"> CP-0038 </t>
  </si>
  <si>
    <t>Conjunto de redução com te/bucha de redução de cobre, 79mm x 42mm, fornecimento e instalação</t>
  </si>
  <si>
    <t>10.111</t>
  </si>
  <si>
    <t xml:space="preserve"> CP-0039 </t>
  </si>
  <si>
    <t>Conjunto de redução com te/bucha de redução de cobre, 79mm x 54mm, fornecimento e instalação</t>
  </si>
  <si>
    <t>10.112</t>
  </si>
  <si>
    <t xml:space="preserve"> CP-0040 </t>
  </si>
  <si>
    <t>Conjunto de redução com te/bucha de redução de cobre, 42mm x 28mm, fornecimento e instalação</t>
  </si>
  <si>
    <t>10.113</t>
  </si>
  <si>
    <t xml:space="preserve"> CP-0041 </t>
  </si>
  <si>
    <t>Conjunto de redução com te/bucha de redução de cobre, 54mm x 28mm, fornecimento e instalação</t>
  </si>
  <si>
    <t>10.114</t>
  </si>
  <si>
    <t xml:space="preserve"> I0322 </t>
  </si>
  <si>
    <t>Bucha redução ferro fundido 100x75mm</t>
  </si>
  <si>
    <t>10.115</t>
  </si>
  <si>
    <t xml:space="preserve"> I2163 </t>
  </si>
  <si>
    <t>Tubo aço galvanizado de 100mm (4</t>
  </si>
  <si>
    <t>10.116</t>
  </si>
  <si>
    <t xml:space="preserve"> I2173 </t>
  </si>
  <si>
    <t>Tubo aço galvanizado de 80mm (3')</t>
  </si>
  <si>
    <t>10.117</t>
  </si>
  <si>
    <t xml:space="preserve"> IE-0055 </t>
  </si>
  <si>
    <t>BOILLER CAP. 5.000 LITROS</t>
  </si>
  <si>
    <t>10.118</t>
  </si>
  <si>
    <t xml:space="preserve"> ORSE-01197 </t>
  </si>
  <si>
    <t>Joelho 90° ferro galvanizado d=4"</t>
  </si>
  <si>
    <t>10.119</t>
  </si>
  <si>
    <t xml:space="preserve"> ORSE-02134 </t>
  </si>
  <si>
    <t>Tê ferro galvanizado d=2 1/2"</t>
  </si>
  <si>
    <t>10.120</t>
  </si>
  <si>
    <t xml:space="preserve"> ORSE-05481 </t>
  </si>
  <si>
    <t>Hidrômetro d= 1 1/2", vazão = 20,0m3/h</t>
  </si>
  <si>
    <t>10.121</t>
  </si>
  <si>
    <t xml:space="preserve"> ORSE-08881 </t>
  </si>
  <si>
    <t>Boia Automática, 15 amperes (regulador de nível de caixa d'agua)</t>
  </si>
  <si>
    <t>10.122</t>
  </si>
  <si>
    <t xml:space="preserve"> ORSE-11355 </t>
  </si>
  <si>
    <t>Tubo aço galvanizado schedule 40, Ø=4"</t>
  </si>
  <si>
    <t>11.00</t>
  </si>
  <si>
    <t>INSTALAÇÕES SANITÁRIAS</t>
  </si>
  <si>
    <t>11.01</t>
  </si>
  <si>
    <t xml:space="preserve"> 72289 </t>
  </si>
  <si>
    <t>Caixa de inspeção 80x80x80cm em alvenaria - execução</t>
  </si>
  <si>
    <t>11.02</t>
  </si>
  <si>
    <t xml:space="preserve"> 72295 </t>
  </si>
  <si>
    <t>Cap pvc esgoto 100mm (tampão) - fornecimento e instalação</t>
  </si>
  <si>
    <t>11.03</t>
  </si>
  <si>
    <t xml:space="preserve"> 89493 </t>
  </si>
  <si>
    <t>Joelho 45 graus, pvc, soldável, dn 32mm, instalado em prumada de água - fornecimento e instalação. Af_12/2014_p</t>
  </si>
  <si>
    <t>11.04</t>
  </si>
  <si>
    <t xml:space="preserve"> 89557 </t>
  </si>
  <si>
    <t>Redução excêntrica, pvc, serie r, água pluvial, dn 100 x 75 mm, junta elástica, fornecido e instalado em ramal de encaminhamento. Af_12/2014</t>
  </si>
  <si>
    <t>11.05</t>
  </si>
  <si>
    <t xml:space="preserve"> 89569 </t>
  </si>
  <si>
    <t>Junção simples, pvc, serie r, água pluvial, dn 100 x 75 mm, junta elástica, fornecido e instalado em ramal de encaminhamento. Af_12/2014</t>
  </si>
  <si>
    <t>11.06</t>
  </si>
  <si>
    <t xml:space="preserve"> 89572 </t>
  </si>
  <si>
    <t>Adaptador curto com bolsa e rosca para registro, pvc, soldável, dn 40mm x 1.1/4", instalado em prumada de água - fornecimento e instalação. Af_12/2014_p</t>
  </si>
  <si>
    <t>11.07</t>
  </si>
  <si>
    <t xml:space="preserve"> 89665 </t>
  </si>
  <si>
    <t>Redução excêntrica, pvc, serie r, água pluvial, dn 75 x 50 mm, junta elástica, fornecido e instalado em condutores verticais de águas pluviais. Af_12/2014</t>
  </si>
  <si>
    <t>11.08</t>
  </si>
  <si>
    <t xml:space="preserve"> 89709 </t>
  </si>
  <si>
    <t>Ralo sifonado, pvc, dn 100 x 40 mm, junta soldável, fornecido e instalado em ramal de descarga ou em ramal de esgoto sanitário. Af_12/2014_p</t>
  </si>
  <si>
    <t>11.09</t>
  </si>
  <si>
    <t xml:space="preserve"> 89724 </t>
  </si>
  <si>
    <t>Joelho 90 graus, pvc, serie normal, esgoto predial, dn 40 mm, junta soldável, fornecido e instalado em ramal de descarga ou ramal de esgoto sanitário. Af_12/2014_p</t>
  </si>
  <si>
    <t>11.10</t>
  </si>
  <si>
    <t xml:space="preserve"> 89726 </t>
  </si>
  <si>
    <t>Joelho 45 graus, pvc, serie normal, esgoto predial, dn 40 mm, junta soldável, fornecido e instalado em ramal de descarga ou ramal de esgoto sanitário. Af_12/2014_p</t>
  </si>
  <si>
    <t>11.11</t>
  </si>
  <si>
    <t xml:space="preserve"> 89731 </t>
  </si>
  <si>
    <t>Joelho 90 graus, pvc, serie normal, esgoto predial, dn 50 mm, junta elástica, fornecido e instalado em ramal de descarga ou ramal de esgoto sanitário. Af_12/2014</t>
  </si>
  <si>
    <t>11.12</t>
  </si>
  <si>
    <t xml:space="preserve"> 89732 </t>
  </si>
  <si>
    <t>Joelho 45 graus, pvc, serie normal, esgoto predial, dn 50 mm, junta elástica, fornecido e instalado em ramal de descarga ou ramal de esgoto sanitário. Af_12/2014</t>
  </si>
  <si>
    <t>11.13</t>
  </si>
  <si>
    <t xml:space="preserve"> 89737 </t>
  </si>
  <si>
    <t>Joelho 90 graus, pvc, serie normal, esgoto predial, dn 75 mm, junta elástica, fornecido e instalado em ramal de descarga ou ramal de esgoto sanitário. Af_12/2014</t>
  </si>
  <si>
    <t>11.14</t>
  </si>
  <si>
    <t xml:space="preserve"> 89739 </t>
  </si>
  <si>
    <t>Joelho 45 graus, pvc, serie normal, esgoto predial, dn 75 mm, junta elástica, fornecido e instalado em ramal de descarga ou ramal de esgoto sanitário. Af_12/2014</t>
  </si>
  <si>
    <t>11.15</t>
  </si>
  <si>
    <t xml:space="preserve"> 89744 </t>
  </si>
  <si>
    <t>Joelho 90 graus, pvc, serie normal, esgoto predial, dn 100 mm, junta elástica, fornecido e instalado em ramal de descarga ou ramal de esgoto sanitário. Af_12/2014</t>
  </si>
  <si>
    <t>11.16</t>
  </si>
  <si>
    <t xml:space="preserve"> 89746 </t>
  </si>
  <si>
    <t>Joelho 45 graus, pvc, serie normal, esgoto predial, dn 100 mm, junta elástica, fornecido e instalado em ramal de descarga ou ramal de esgoto sanitário. Af_12/2014</t>
  </si>
  <si>
    <t>11.17</t>
  </si>
  <si>
    <t xml:space="preserve"> 89754 </t>
  </si>
  <si>
    <t>Luva de correr, pvc, serie normal, esgoto predial, dn 50 mm, junta elástica, fornecido e instalado em ramal de descarga ou ramal de esgoto sanitário. Af_12/2014</t>
  </si>
  <si>
    <t>11.18</t>
  </si>
  <si>
    <t xml:space="preserve"> 89776 </t>
  </si>
  <si>
    <t>Luva de correr, pvc, serie normal, esgoto predial, dn 75 mm, junta elástica, fornecido e instalado em ramal de descarga ou ramal de esgoto sanitário. Af_12/2014</t>
  </si>
  <si>
    <t>11.19</t>
  </si>
  <si>
    <t xml:space="preserve"> 89785 </t>
  </si>
  <si>
    <t>Junção simples, pvc, serie normal, esgoto predial, dn 50 x 50 mm, junta elástica, fornecido e instalado em ramal de descarga ou ramal de esgoto sanitário. Af_12/2014</t>
  </si>
  <si>
    <t>11.20</t>
  </si>
  <si>
    <t xml:space="preserve"> 89795 </t>
  </si>
  <si>
    <t>Junção simples, pvc, serie normal, esgoto predial, dn 75 x 75 mm, junta elástica, fornecido e instalado em ramal de descarga ou ramal de esgoto sanitário. Af_12/2014</t>
  </si>
  <si>
    <t>11.21</t>
  </si>
  <si>
    <t xml:space="preserve"> 89797 </t>
  </si>
  <si>
    <t>Junção simples, pvc, serie normal, esgoto predial, dn 100 x 100 mm, junta elástica, fornecido e instalado em ramal de descarga ou ramal de esgoto sanitário. Af_12/2014</t>
  </si>
  <si>
    <t>11.22</t>
  </si>
  <si>
    <t xml:space="preserve"> 89854 </t>
  </si>
  <si>
    <t>Joelho 90 graus, pvc, serie normal, esgoto predial, dn 150 mm, junta elástica, fornecido e instalado em subcoletor aéreo de esgoto sanitário. Af_12/2014</t>
  </si>
  <si>
    <t>11.23</t>
  </si>
  <si>
    <t xml:space="preserve"> 91792 </t>
  </si>
  <si>
    <t>Serviço de instalação de tubo de pvc, série normal, esgoto predial, dn 40 mm (instalado em ramal de descarga ou ramal de esgoto sanitário), inclusive conexões, cortes e fixações, para prédios. Af_10/2015_p</t>
  </si>
  <si>
    <t>11.24</t>
  </si>
  <si>
    <t xml:space="preserve"> 91793 </t>
  </si>
  <si>
    <t>Serviço de instalação de tubo de pvc, série normal, esgoto predial, dn 50 mm (instalado em ramal de descarga ou ramal de esgoto sanitário), inclusive conexões, cortes e fixações para, prédios. Af_10/2015_p</t>
  </si>
  <si>
    <t>11.25</t>
  </si>
  <si>
    <t xml:space="preserve"> 91794 </t>
  </si>
  <si>
    <t>Serviço de inst. Tubo pvc, série n, esgoto predial, dn 75 mm, (inst. Em ramal de descarga, ramal de esg. Sanitário, prumada de esg. Sanitário ou ventilação), incl. Conexões, cortes e fixações, p/ prédios. Af_10/2015_p</t>
  </si>
  <si>
    <t>11.26</t>
  </si>
  <si>
    <t xml:space="preserve"> 91795 </t>
  </si>
  <si>
    <t>Serviço de inst. Tubo pvc, série n, esgoto predial, 100 mm (inst. Ramal descarga, ramal de esg. Sanit., prumada esg. Sanit., ventilação ou sub-coletor aéreo), incl. Conexões e cortes, fixações, p/ prédios. Af_10/2015_p</t>
  </si>
  <si>
    <t>11.27</t>
  </si>
  <si>
    <t xml:space="preserve"> 91796 </t>
  </si>
  <si>
    <t>Serviço de instalação de tubo de pvc, série normal, esgoto predial, dn 150 mm (instalado em sub-coletor aéreo), inclusive conexões, cortes e fixações, para prédios. Af_10/2015_p</t>
  </si>
  <si>
    <t>11.28</t>
  </si>
  <si>
    <t xml:space="preserve"> C0601 </t>
  </si>
  <si>
    <t>Caixa de gordura/sabão em alvenaria</t>
  </si>
  <si>
    <t>11.29</t>
  </si>
  <si>
    <t xml:space="preserve"> C0604 </t>
  </si>
  <si>
    <t>Caixa de inspeção em alvenaria - 1 tijolo comum</t>
  </si>
  <si>
    <t>11.30</t>
  </si>
  <si>
    <t xml:space="preserve"> C1540 </t>
  </si>
  <si>
    <t>Joelho ou curva pvc rosc. D=1 1/2" (50mm)</t>
  </si>
  <si>
    <t>11.31</t>
  </si>
  <si>
    <t xml:space="preserve"> C1541 </t>
  </si>
  <si>
    <t>Joelho ou curva pvc rosc. D=1 1/4" (40mm)</t>
  </si>
  <si>
    <t>11.32</t>
  </si>
  <si>
    <t xml:space="preserve"> C1544 </t>
  </si>
  <si>
    <t>Joelho ou curva pvc rosc. D=2 1/2" (75mm)</t>
  </si>
  <si>
    <t>11.33</t>
  </si>
  <si>
    <t>Joelho ou curva pvc rosc. D=4" (110mm)</t>
  </si>
  <si>
    <t>11.34</t>
  </si>
  <si>
    <t xml:space="preserve"> C1579 </t>
  </si>
  <si>
    <t>Junção simples de redução pvc p/esgoto 75x50mm (3"x2")</t>
  </si>
  <si>
    <t>11.35</t>
  </si>
  <si>
    <t xml:space="preserve"> C1582 </t>
  </si>
  <si>
    <t>Junção simples de redução pvc p/esgoto 100x50mm(4"x2")</t>
  </si>
  <si>
    <t>11.36</t>
  </si>
  <si>
    <t xml:space="preserve"> C2347 </t>
  </si>
  <si>
    <t>Tê pvc branco c/redução p/esgoto d=100x50mm (4"x2")</t>
  </si>
  <si>
    <t>11.37</t>
  </si>
  <si>
    <t xml:space="preserve"> C2348 </t>
  </si>
  <si>
    <t>Tê pvc branco c/redução p/esgoto d=100x75mm (4"x3")</t>
  </si>
  <si>
    <t>11.38</t>
  </si>
  <si>
    <t xml:space="preserve"> C2359 </t>
  </si>
  <si>
    <t>Tê pvc branco p/esgoto d=50mm (2</t>
  </si>
  <si>
    <t>11.39</t>
  </si>
  <si>
    <t xml:space="preserve"> C2361 </t>
  </si>
  <si>
    <t>Tê pvc branco p/esgoto d=75x50mm (3"x2")-juntas c/anéis</t>
  </si>
  <si>
    <t>11.40</t>
  </si>
  <si>
    <t xml:space="preserve"> C2363 </t>
  </si>
  <si>
    <t>Tê pvc branco p/esgoto d=75mm (3")-juntas sold.</t>
  </si>
  <si>
    <t>11.41</t>
  </si>
  <si>
    <t xml:space="preserve"> C2379 </t>
  </si>
  <si>
    <t>Tê pvc sold./rosca azul d=25mmx25mmx3/4'</t>
  </si>
  <si>
    <t>11.42</t>
  </si>
  <si>
    <t xml:space="preserve"> C2605 </t>
  </si>
  <si>
    <t>Tubo pvc rosc. Branco d= 1 1/4" (40mm)</t>
  </si>
  <si>
    <t>11.43</t>
  </si>
  <si>
    <t xml:space="preserve"> CP-0042 </t>
  </si>
  <si>
    <t>Redução excêntrica, pvc, serie r, água pluvial, dn 100 x 50 mm, junta elástica, fornecido e instalado</t>
  </si>
  <si>
    <t>11.44</t>
  </si>
  <si>
    <t xml:space="preserve"> IE-0062 </t>
  </si>
  <si>
    <t>Caixa sifonada redonda, corpo giratório, d=100x140x50mm, com grelha.</t>
  </si>
  <si>
    <t>11.45</t>
  </si>
  <si>
    <t xml:space="preserve"> ORSE-06461 </t>
  </si>
  <si>
    <t>Tê 90º Vinilfort para coletor Esgotos, Junta Elástica Integrada, DN 100 x 100mm</t>
  </si>
  <si>
    <t>11.46</t>
  </si>
  <si>
    <t xml:space="preserve"> ORSE-07615 </t>
  </si>
  <si>
    <t>Caixa sifonada redonda, corpo giratório, com 5 entradas de 40mm e 1 saida de 75mm, d=150x170x75mm, com grelha, Pvc branco, Tigre ou similar</t>
  </si>
  <si>
    <t>12.00</t>
  </si>
  <si>
    <t>INSTALAÇÕES DE ÁGUAS PLUVIAIS</t>
  </si>
  <si>
    <t>Caixas de Passagens</t>
  </si>
  <si>
    <t>12.01</t>
  </si>
  <si>
    <t xml:space="preserve"> 73481 </t>
  </si>
  <si>
    <t>Escavacao manual de valas em terra compacta, prof. De 0 m &lt; h &lt;= 1</t>
  </si>
  <si>
    <t>12.02</t>
  </si>
  <si>
    <t>Remocao manual de entulho</t>
  </si>
  <si>
    <t>12.03</t>
  </si>
  <si>
    <t>Transporte de entulho com caminhao basculante 6 m3, rodovia pavimentada, dmt 0,5 a 1,0 km</t>
  </si>
  <si>
    <t>12.04</t>
  </si>
  <si>
    <t xml:space="preserve"> 5622 </t>
  </si>
  <si>
    <t>Regularizacao e compactacao manual de terreno com soquete</t>
  </si>
  <si>
    <t>12.05</t>
  </si>
  <si>
    <t>Assentamento de tubo de pvc para rede coletora de esgoto de parede maciça, dn 150 mm, junta elástica, instalado em local com nível baixo de interferências (não inclui fornecimento). Af_06/2015</t>
  </si>
  <si>
    <t>12.06</t>
  </si>
  <si>
    <t>73963/044</t>
  </si>
  <si>
    <t>Poco visita esg sanit anel conc pre-mold prof=0,80m c/ tampao fofo articulado, classe b125 carga max 12,5 t, redondo tampa 600 mm, rede pluvial/esgoto / degraus ff / rejuntamento aneis / revest liso calha interna c/arg cim/areia 1:4. Base / banqueta em concr fck=10mpa</t>
  </si>
  <si>
    <t>12.07</t>
  </si>
  <si>
    <t>Caixa de inspeção 80x80x80cm em alvenaria - </t>
  </si>
  <si>
    <t>12.08</t>
  </si>
  <si>
    <t>Tampao fofo articulado, classe b125 carga max 12,5 t, redondo tampa 600 mm, rede pluvial/esgoto, p = chamine cx areia / poco visita assentado com arg cim/areia 1:4, fornecimento e assentamento</t>
  </si>
  <si>
    <t>12.09</t>
  </si>
  <si>
    <t>74124/001</t>
  </si>
  <si>
    <t>Poco visita ag pluv:conc arm 1x1x1,40m coletor d=40 a 50cm parede e=15cm base conc fck=10mpa revest c/arg cim/areia 1:4 incl forn todos materiais</t>
  </si>
  <si>
    <t>12.10</t>
  </si>
  <si>
    <t>12.11</t>
  </si>
  <si>
    <t>Caixa de areia 60x60x60cm em alvenaria </t>
  </si>
  <si>
    <t>12.12</t>
  </si>
  <si>
    <t>Grelha ff 30x90cm, 135kg, p/ cx ralo com assentamento de argamassa cimento/areia 1:4 - fornecimento e instalação</t>
  </si>
  <si>
    <t>12.13</t>
  </si>
  <si>
    <t>12.14</t>
  </si>
  <si>
    <t>12.15</t>
  </si>
  <si>
    <t>Caixa para ralo com grelha fofo 135 kg de alv tijolo macico (7x10x20) paredes de uma vez (0.20 m) de 0.90x1.20x1.50 m (externa) com argamassa 1:4 cimento:areia, base conc fck=10 mpa, exclusive escavacao e reaterro.</t>
  </si>
  <si>
    <t>UM</t>
  </si>
  <si>
    <t>Tubulações</t>
  </si>
  <si>
    <t>12.16</t>
  </si>
  <si>
    <t>12.17</t>
  </si>
  <si>
    <t>12.18</t>
  </si>
  <si>
    <t>12.19</t>
  </si>
  <si>
    <t>12.20</t>
  </si>
  <si>
    <t>12.21</t>
  </si>
  <si>
    <t>Tubo pvc, série r, água pluvial, dn 150 mm, fornecido e instalado em condutores verticais de águas pluviais. Af_12/2014_p</t>
  </si>
  <si>
    <t>12.22</t>
  </si>
  <si>
    <t>Assentamento de tubo de pvc para rede coletora de esgoto de parede maciça, dn 100 mm, junta elástica, instalado em local com nível baixo de interferências (não inclui fornecimento). Af_06/2015</t>
  </si>
  <si>
    <t>12.23</t>
  </si>
  <si>
    <t>Tubo pvc, série r, água pluvial, dn 100 mm, fornecido e instalado em condutores verticais de águas pluviais. Af_12/2014_p</t>
  </si>
  <si>
    <t>Conexoes</t>
  </si>
  <si>
    <t>12.24</t>
  </si>
  <si>
    <t>Joelho 90 graus, pvc, serie r, água pluvial, dn 150 mm, junta elástica, fornecido e instalado em condutores verticais de águas pluviais. Af_12/2014</t>
  </si>
  <si>
    <t>12.25</t>
  </si>
  <si>
    <t>Joelho 90 graus, pvc, serie r, água pluvial, dn 100 mm, junta elástica, fornecido e instalado em condutores verticais de águas pluviais. Af_12/2014</t>
  </si>
  <si>
    <t>12.26</t>
  </si>
  <si>
    <t>Joelho 45 graus, pvc, serie r, água pluvial, dn 150 mm, junta elástica, fornecido e instalado em condutores verticais de águas pluviais. Af_12/2014</t>
  </si>
  <si>
    <t>12.27</t>
  </si>
  <si>
    <t>Joelho 45 graus, pvc, serie r, água pluvial, dn 100 mm, junta elástica, fornecido e instalado em condutores verticais de águas pluviais. Af_12/2014</t>
  </si>
  <si>
    <t>12.28</t>
  </si>
  <si>
    <t>Te de inspecao, pvc, serie r, 150 x 100 mm, para esgoto predial</t>
  </si>
  <si>
    <t>12.29</t>
  </si>
  <si>
    <t>Tê de inspeção, pvc, serie r, água pluvial, dn 100 mm, junta elástica, fornecido e instalado em condutores verticais de águas pluviais. Af_12/2014</t>
  </si>
  <si>
    <t>12.30</t>
  </si>
  <si>
    <t>Junção simples, pvc, serie r, água pluvial, dn 150 x 100 mm, junta elástica, fornecido e instalado em condutores verticais de águas pluviais. Af_12/2014</t>
  </si>
  <si>
    <t>12.31</t>
  </si>
  <si>
    <t>Junção simples, pvc, serie r, água pluvial, dn 100 x 100 mm, junta elástica, fornecido e instalado em condutores verticais de águas pluviais. Af_12/2014</t>
  </si>
  <si>
    <t>12.32</t>
  </si>
  <si>
    <t>Redução excêntrica, pvc, serie r, água pluvial, dn 150 x 100 mm, junta elástica, fornecido e instalado em condutores verticais de águas pluviais. Af_12/2014</t>
  </si>
  <si>
    <t>12.33</t>
  </si>
  <si>
    <t>13.00</t>
  </si>
  <si>
    <t>INSTALAÇÕES SPDA</t>
  </si>
  <si>
    <t>13.01</t>
  </si>
  <si>
    <t xml:space="preserve"> CP-0075 </t>
  </si>
  <si>
    <t>Para-raio tipo franklin c/mastro simples de ferro galvanizado h=3,00m, incl. Cabo 70mm² e suportes c/mastique de vedação - fornecimento e instalação</t>
  </si>
  <si>
    <t>13.02</t>
  </si>
  <si>
    <t xml:space="preserve"> CP-0076 </t>
  </si>
  <si>
    <t>Terminal aereo base plana, incl. Cabo 35mm² e suportes c/mastique de vedação - fornecimento e instalação</t>
  </si>
  <si>
    <t>13.03</t>
  </si>
  <si>
    <t xml:space="preserve"> 72253 </t>
  </si>
  <si>
    <t>Cabo de cobre nu 35mm2 - fornecimento e instalacao</t>
  </si>
  <si>
    <t>13.04</t>
  </si>
  <si>
    <t xml:space="preserve"> CP-0077 </t>
  </si>
  <si>
    <t>Conector tipo prensa cabo - para cabo 35mm2 c/mastique de vedação - fornecimento e instalacao</t>
  </si>
  <si>
    <t>13.05</t>
  </si>
  <si>
    <t xml:space="preserve"> CP-0078 </t>
  </si>
  <si>
    <t>Presilha ou terminal metalico a pressao - para cabo 35mm2 c/mastique de vedação - fornecimento e instalacao</t>
  </si>
  <si>
    <t>13.06</t>
  </si>
  <si>
    <t>13.07</t>
  </si>
  <si>
    <t xml:space="preserve"> 73964/006 </t>
  </si>
  <si>
    <t>Reaterro de vala com compactação manual</t>
  </si>
  <si>
    <t>13.08</t>
  </si>
  <si>
    <t xml:space="preserve"> 83446 </t>
  </si>
  <si>
    <t>Caixa de passagem 30x30x40 com tampa e dreno brita</t>
  </si>
  <si>
    <t>13.09</t>
  </si>
  <si>
    <t xml:space="preserve"> 68069 </t>
  </si>
  <si>
    <t>Haste copperweld 5/8 x 3,0m com conector</t>
  </si>
  <si>
    <t>13.10</t>
  </si>
  <si>
    <t xml:space="preserve"> 72254 </t>
  </si>
  <si>
    <t>Cabo de cobre nu 50mm2 - fornecimento e instalacao</t>
  </si>
  <si>
    <t>13.11</t>
  </si>
  <si>
    <t xml:space="preserve"> C3909 </t>
  </si>
  <si>
    <t>Solda exotérmica</t>
  </si>
  <si>
    <t>13.12</t>
  </si>
  <si>
    <t xml:space="preserve"> 00038467 </t>
  </si>
  <si>
    <t>Alicate de pressao 11 " para solda, tipo c</t>
  </si>
  <si>
    <t>13.13</t>
  </si>
  <si>
    <t xml:space="preserve"> 00038468 </t>
  </si>
  <si>
    <t>Alicate de pressao 11 " para solda, tipo u</t>
  </si>
  <si>
    <t>13.14</t>
  </si>
  <si>
    <t xml:space="preserve"> 00038061 </t>
  </si>
  <si>
    <t>Sinalizador noturno simples para para-raios, sem rele fotoeletrico</t>
  </si>
  <si>
    <t>13.15</t>
  </si>
  <si>
    <t xml:space="preserve"> 00002510 </t>
  </si>
  <si>
    <t>Rele fotoeletrico 1000w/220v</t>
  </si>
  <si>
    <t>13.16</t>
  </si>
  <si>
    <t xml:space="preserve"> CP-0079 </t>
  </si>
  <si>
    <t>Ponto de energia para sinalizador - fornecimento e instalação</t>
  </si>
  <si>
    <t>14.00</t>
  </si>
  <si>
    <t>INSTALAÇÕES DE TELEFONE/ANTENA/SOM/CHAMADA ENFERMAGEM</t>
  </si>
  <si>
    <t>14.1</t>
  </si>
  <si>
    <t>Antena e Som</t>
  </si>
  <si>
    <t>14.1.1</t>
  </si>
  <si>
    <t>Eletroduto rígido roscável, pvc, dn 32 mm (1"), para circuitos terminais, instalado em forro - fornecimento e instalação. Af_12/2015</t>
  </si>
  <si>
    <t>14.1.2</t>
  </si>
  <si>
    <t>Fixação de tubos horizontais de pvc, cpvc ou cobre diâmetros menores ou iguais a 40 mm com abraçadeira metálica rígida tipo d 1/2", fixada em perfilado em laje. Af_05/2015</t>
  </si>
  <si>
    <t>14.1.3</t>
  </si>
  <si>
    <t>Curva 90 graus para eletroduto, pvc, roscável, dn 32 mm (1"), para circuitos terminais, instalada em forro - fornecimento e instalação. Af_12/2015</t>
  </si>
  <si>
    <t>14.1.4</t>
  </si>
  <si>
    <t>Luva para eletroduto, pvc, roscável, dn 32 mm (1"), para circuitos terminais, instalada em forro - fornecimento e instalação. Af_12/2015</t>
  </si>
  <si>
    <t>14.1.5</t>
  </si>
  <si>
    <t>Bucha / arruela aluminio 1"</t>
  </si>
  <si>
    <t>14.1.6</t>
  </si>
  <si>
    <t>Duto perfurado - eletrocalha de chapa de aço (50x100)mm</t>
  </si>
  <si>
    <t>14.1.7</t>
  </si>
  <si>
    <t>Te horizontal 100 x 50 mm com base lisa perfurada para eletrocalha metalica(ref. Mopa ou similar).</t>
  </si>
  <si>
    <t>14.1.8</t>
  </si>
  <si>
    <t>Curva horizontal 100 x 50 mm para eletrocalha metalica com ângulo 90° (ref.: mopa ou similar).</t>
  </si>
  <si>
    <t>14.1.9</t>
  </si>
  <si>
    <t>Curva de inversão 100x50 mm.</t>
  </si>
  <si>
    <t>14.1.10</t>
  </si>
  <si>
    <t>Cruzeta 100 x 50 mm para eletrocalha perfurada metalica(ref.: mopa ou similar)</t>
  </si>
  <si>
    <t>14.1.11</t>
  </si>
  <si>
    <t>Flange de ligação 100x50mm para eletrocalha metalica, saida ( 1"). (ref. Mopa ou similar).</t>
  </si>
  <si>
    <t>14.1.12</t>
  </si>
  <si>
    <t>Junção para eletrocalha metalica 100mm(ref. Mopa ou similar)</t>
  </si>
  <si>
    <t>14.1.13</t>
  </si>
  <si>
    <t>Suporte vertical 100 x 50 mm para fixação de eletrocalha metalica ( ref.: mopa ou similar).</t>
  </si>
  <si>
    <t>14.1.14</t>
  </si>
  <si>
    <t>Suporte horizontal 100 x 50 mm para fixação de eletrocalha metalica (ref.: mopa ou similar.)</t>
  </si>
  <si>
    <t>14.1.15</t>
  </si>
  <si>
    <t>Fixação de eletrocalhas com vergalhao (tirante) com rosca total  ø 1/4"x1000mm (marvitec ref. 1431 ou similar)</t>
  </si>
  <si>
    <t>14.1.16</t>
  </si>
  <si>
    <t>C1165</t>
  </si>
  <si>
    <t>Duto perfurado - perfilados chapa de aço (38x38)mm</t>
  </si>
  <si>
    <t>14.1.17</t>
  </si>
  <si>
    <t>C0627</t>
  </si>
  <si>
    <t>Caixa de passagem com tampa parafusada 150x150x80mm ( 1" ).</t>
  </si>
  <si>
    <t>14.1.18</t>
  </si>
  <si>
    <t>Arruela lisa zincada d=1/4"</t>
  </si>
  <si>
    <t>14.1.19</t>
  </si>
  <si>
    <t>Porca sextavada zincada 1/4" (fornecimento e colocação)</t>
  </si>
  <si>
    <t>14.1.20</t>
  </si>
  <si>
    <t>14.1.21</t>
  </si>
  <si>
    <t>Sapata externa 4 furos para perfilado, 38 x 38 mm, ref. Ckp 131 ou similar.</t>
  </si>
  <si>
    <t>14.1.22</t>
  </si>
  <si>
    <t>Chumbador walsywa  cb314200 d=1/4"x2</t>
  </si>
  <si>
    <t>14.1.23</t>
  </si>
  <si>
    <t>Caixa retangular 4" x 4" alta (2,00 m do piso), metálica, instalada em parede - fornecimento e instalação. Af_12/2015</t>
  </si>
  <si>
    <t>14.1.24</t>
  </si>
  <si>
    <t>C1929</t>
  </si>
  <si>
    <t>Placa p/caixa estampada 4"x4" (antena).</t>
  </si>
  <si>
    <t>14.1.25</t>
  </si>
  <si>
    <t>C0545</t>
  </si>
  <si>
    <t>Cabo lógico/vídeo coaxial 75 (ohms)</t>
  </si>
  <si>
    <t>14.1.26</t>
  </si>
  <si>
    <t>Caixa octogonal 4" x 4", metálica, instalada em laje - fornecimento e instalação. Af_12/2015</t>
  </si>
  <si>
    <t>14.1.27</t>
  </si>
  <si>
    <t>Cabo para audio, af, 2 x 22awg</t>
  </si>
  <si>
    <t>14.2</t>
  </si>
  <si>
    <t>Chamada de Enfermagem</t>
  </si>
  <si>
    <t>14.2.1</t>
  </si>
  <si>
    <t>14.2.2</t>
  </si>
  <si>
    <t>14.2.3</t>
  </si>
  <si>
    <t>14.2.4</t>
  </si>
  <si>
    <t>14.2.5</t>
  </si>
  <si>
    <t>14.2.6</t>
  </si>
  <si>
    <t>14.2.7</t>
  </si>
  <si>
    <t>Caixa retangular 4" x 4" baixa (0,30 m do piso), metálica, instalada em parede - fornecimento e instalação. Af_12/2015</t>
  </si>
  <si>
    <t>14.2.8</t>
  </si>
  <si>
    <t>Placa p/caixa estampada 4"x4" (passagem).</t>
  </si>
  <si>
    <t>14.2.9</t>
  </si>
  <si>
    <t>Cabo de cobre flexivel isolado, seção 0,75mm², 450/ 750v / 70°c</t>
  </si>
  <si>
    <t>15.00</t>
  </si>
  <si>
    <t>INSTALAÇÕES DE CFTV/CONTROLE DE ACESSO E CABEAMENTO ESTRUTURADO</t>
  </si>
  <si>
    <t>15.1</t>
  </si>
  <si>
    <t>CFTV</t>
  </si>
  <si>
    <t>15.1.1</t>
  </si>
  <si>
    <t>15.1.2</t>
  </si>
  <si>
    <t>15.1.3</t>
  </si>
  <si>
    <t>15.1.4</t>
  </si>
  <si>
    <t>15.1.5</t>
  </si>
  <si>
    <t>15.1.6</t>
  </si>
  <si>
    <t>15.1.7</t>
  </si>
  <si>
    <t>15.1.8</t>
  </si>
  <si>
    <t>15.1.9</t>
  </si>
  <si>
    <t>15.1.10</t>
  </si>
  <si>
    <t>15.1.11</t>
  </si>
  <si>
    <t>15.1.12</t>
  </si>
  <si>
    <t>15.1.13</t>
  </si>
  <si>
    <t>15.1.14</t>
  </si>
  <si>
    <t>15.1.15</t>
  </si>
  <si>
    <t>15.1.16</t>
  </si>
  <si>
    <t>15.1.17</t>
  </si>
  <si>
    <t>15.1.18</t>
  </si>
  <si>
    <t>15.1.19</t>
  </si>
  <si>
    <t>15.1.20</t>
  </si>
  <si>
    <t>15.1.21</t>
  </si>
  <si>
    <t>15.1.22</t>
  </si>
  <si>
    <t>15.1.23</t>
  </si>
  <si>
    <t>15.1.24</t>
  </si>
  <si>
    <t>Placa p/caixa estampada 4"x4"</t>
  </si>
  <si>
    <t>15.1.25</t>
  </si>
  <si>
    <t>C3973</t>
  </si>
  <si>
    <t>Câmera fixa - cftv - instalada/programada</t>
  </si>
  <si>
    <t>15.1.26</t>
  </si>
  <si>
    <t>C4533</t>
  </si>
  <si>
    <t>Cabo lógico 4 pares, categoria 6 - utp</t>
  </si>
  <si>
    <t>15.1.27</t>
  </si>
  <si>
    <t>Fornecimento e colocação de anilha para identificação.</t>
  </si>
  <si>
    <t>15.1.28</t>
  </si>
  <si>
    <t>Fornecimento e instalação de mini rack de parede 19" x 8u x 450mm.</t>
  </si>
  <si>
    <t>15.2</t>
  </si>
  <si>
    <t>Controle de Acesso</t>
  </si>
  <si>
    <t>15.2.1</t>
  </si>
  <si>
    <t>15.2.2</t>
  </si>
  <si>
    <t>15.2.3</t>
  </si>
  <si>
    <t>15.2.4</t>
  </si>
  <si>
    <t>15.2.5</t>
  </si>
  <si>
    <t>15.2.6</t>
  </si>
  <si>
    <t>Duto perfurado - eletrocalha chapa de aço (100x100)mm</t>
  </si>
  <si>
    <t>15.2.7</t>
  </si>
  <si>
    <t>Te horizontal 100 x 100 mm para eletrocalha metalica (ref. Mopa ou similar)</t>
  </si>
  <si>
    <t>15.2.8</t>
  </si>
  <si>
    <t>Curva horizontal 100 x 100 mm para eletrocalha metalica, com ângulo 90° (ref.: mopa ou similar)</t>
  </si>
  <si>
    <t>15.2.9</t>
  </si>
  <si>
    <t>Curva de inversao 100x100 mm para eletrocalha metalica.</t>
  </si>
  <si>
    <t>15.2.10</t>
  </si>
  <si>
    <t>15.2.11</t>
  </si>
  <si>
    <t>15.2.12</t>
  </si>
  <si>
    <t>15.2.13</t>
  </si>
  <si>
    <t>Suporte vertical 100 x 100 mm para fixação de eletrocalha metalica ( ref.: mopa ou similar).</t>
  </si>
  <si>
    <t>15.2.14</t>
  </si>
  <si>
    <t>15.2.15</t>
  </si>
  <si>
    <t>C1158</t>
  </si>
  <si>
    <t>Duto perfurado - eletrocalha chapa de aço (50x50)mm</t>
  </si>
  <si>
    <t>15.2.16</t>
  </si>
  <si>
    <t>Te horizontal 50 x 50 mm para eletrocalha metalica (ref. Mopa ou similar).</t>
  </si>
  <si>
    <t>15.2.17</t>
  </si>
  <si>
    <t>Curva horizontal 50 x 50 mm para eletrocalha metalica, com ângulo 90° (ref.: mopa ou similar).</t>
  </si>
  <si>
    <t>15.2.18</t>
  </si>
  <si>
    <t>Curva de inversao 50 x 50 mm para eletrocalha metalica(ref.: mopa ou similar).</t>
  </si>
  <si>
    <t>15.2.19</t>
  </si>
  <si>
    <t>15.2.20</t>
  </si>
  <si>
    <t>15.2.21</t>
  </si>
  <si>
    <t>Junção interna tipo "i" para perfilado ( ref.: mopa ou similar).</t>
  </si>
  <si>
    <t>15.2.22</t>
  </si>
  <si>
    <t>Suporte vertical 50 x 50mm para fixação de eletrocalha metalica (ref. Mopa ou similar).</t>
  </si>
  <si>
    <t>15.2.23</t>
  </si>
  <si>
    <t>15.2.24</t>
  </si>
  <si>
    <t>15.2.25</t>
  </si>
  <si>
    <t>15.2.26</t>
  </si>
  <si>
    <t>15.2.27</t>
  </si>
  <si>
    <t>15.2.28</t>
  </si>
  <si>
    <t>15.2.29</t>
  </si>
  <si>
    <t>15.2.30</t>
  </si>
  <si>
    <t>15.2.31</t>
  </si>
  <si>
    <t>15.2.32</t>
  </si>
  <si>
    <t>C4174</t>
  </si>
  <si>
    <t>Tomada p/ conexão de rede c/ conector rj 45 c/ espelho em caixa 4 x 4 (instalada)</t>
  </si>
  <si>
    <t>15.2.33</t>
  </si>
  <si>
    <t>15.2.34</t>
  </si>
  <si>
    <t>15.2.35</t>
  </si>
  <si>
    <t>15.2.36</t>
  </si>
  <si>
    <t>15.2.37</t>
  </si>
  <si>
    <t>15.3</t>
  </si>
  <si>
    <t>Cabeamento Estruturado</t>
  </si>
  <si>
    <t>15.3.1</t>
  </si>
  <si>
    <t>15.3.2</t>
  </si>
  <si>
    <t>Eletroduto rígido roscável, pvc, dn 40 mm (1 1/4"), para circuitos terminais, instalado em forro - fornecimento e instalação. Af_12/2015</t>
  </si>
  <si>
    <t>15.3.3</t>
  </si>
  <si>
    <t>15.3.4</t>
  </si>
  <si>
    <t>Fixação de tubos horizontais de pvc, cpvc ou cobre diâmetros maiores que 40 mm e menores ou iguais a 75 mm com abraçadeira metálica rígida tipo d 1 1/2", fixada em perfilado em laje. Af_05/2015</t>
  </si>
  <si>
    <t>15.3.5</t>
  </si>
  <si>
    <t>Eletroduto flexível corrugado, pvc, dn 32 mm (1"), para circuitos terminais, instalado em forro - fornecimento e instalação. Af_12/2015</t>
  </si>
  <si>
    <t>15.3.6</t>
  </si>
  <si>
    <t>15.3.7</t>
  </si>
  <si>
    <t>15.3.8</t>
  </si>
  <si>
    <t>15.3.9</t>
  </si>
  <si>
    <t>Bucha / arruela aluminio 1 1/4</t>
  </si>
  <si>
    <t>15.3.10</t>
  </si>
  <si>
    <t>15.3.11</t>
  </si>
  <si>
    <t>15.3.12</t>
  </si>
  <si>
    <t>15.3.13</t>
  </si>
  <si>
    <t>15.3.14</t>
  </si>
  <si>
    <t>15.3.15</t>
  </si>
  <si>
    <t>15.3.16</t>
  </si>
  <si>
    <t>Flange de ligação 100x50mm para eletrocalha metalica, saida ( 1 1/4"). (ref. Mopa ou similar).</t>
  </si>
  <si>
    <t>15.3.17</t>
  </si>
  <si>
    <t>15.3.18</t>
  </si>
  <si>
    <t>15.3.19</t>
  </si>
  <si>
    <t>15.3.20</t>
  </si>
  <si>
    <t>15.3.21</t>
  </si>
  <si>
    <t>15.3.22</t>
  </si>
  <si>
    <t>15.3.23</t>
  </si>
  <si>
    <t>Caixa de passagem com tampa parafusada 150x150x80mm ( 1 1/4" ).</t>
  </si>
  <si>
    <t>15.3.24</t>
  </si>
  <si>
    <t>15.3.25</t>
  </si>
  <si>
    <t>15.3.26</t>
  </si>
  <si>
    <t>15.3.27</t>
  </si>
  <si>
    <t>15.3.28</t>
  </si>
  <si>
    <t>15.3.29</t>
  </si>
  <si>
    <t>15.3.30</t>
  </si>
  <si>
    <t>15.3.31</t>
  </si>
  <si>
    <t>Tomada dupla para logica rj45, cat.6, com caixa pvc, embutir, completa.</t>
  </si>
  <si>
    <t>15.3.32</t>
  </si>
  <si>
    <t>15.3.33</t>
  </si>
  <si>
    <t>Cabo de fibra otica de 6 vias.</t>
  </si>
  <si>
    <t>15.3.34</t>
  </si>
  <si>
    <t>15.3.35</t>
  </si>
  <si>
    <t>Fornecimento e instalação de rack de piso 19" x 16u x 570mm (gabinete) inclusive acessórios.</t>
  </si>
  <si>
    <t>16.00</t>
  </si>
  <si>
    <t>INSTALAÇÕES DE PROTEÇÃO E COMBATE A INCÊNDIO</t>
  </si>
  <si>
    <t>16.01</t>
  </si>
  <si>
    <t>Abraçadeiras em aço galvanizado de 1" x 3/8", para fixação de tubos</t>
  </si>
  <si>
    <t>unid.</t>
  </si>
  <si>
    <t>16.02</t>
  </si>
  <si>
    <t>Bóia de alarme contra esvaziamento</t>
  </si>
  <si>
    <t>16.03</t>
  </si>
  <si>
    <t>Bomba de incêndio</t>
  </si>
  <si>
    <t>16.04</t>
  </si>
  <si>
    <t>Botoeira quebra - vidro p/ alarme sonoro.</t>
  </si>
  <si>
    <t>16.05</t>
  </si>
  <si>
    <t>Bucha de expansão 3/8"</t>
  </si>
  <si>
    <t>16.06</t>
  </si>
  <si>
    <t>72288</t>
  </si>
  <si>
    <t>Caixa de Incêndio</t>
  </si>
  <si>
    <t>16.07</t>
  </si>
  <si>
    <t>Caixa de passagem</t>
  </si>
  <si>
    <t>16.08</t>
  </si>
  <si>
    <t>C0731</t>
  </si>
  <si>
    <t>CENTRAL ALARME P/18 LAÇOS SUPERV., MOD.FIRE-LITE/SIMILAR</t>
  </si>
  <si>
    <t>16.09</t>
  </si>
  <si>
    <t>Conjunto de mangueira para combate a incendio em fibra de poliester pura, com 1.1/2",
revestida internamente, com 2 lances de 15m cada</t>
  </si>
  <si>
    <t>16.10</t>
  </si>
  <si>
    <t>C0946</t>
  </si>
  <si>
    <t>Cotovelo 90 FG 2 1/2"</t>
  </si>
  <si>
    <t>16.11</t>
  </si>
  <si>
    <t>Eletroduto de FG 3/4'' pelo teto ou parede p/ alarme, comando da botoeira da bomba e Quadro Sinóptico.</t>
  </si>
  <si>
    <t>16.12</t>
  </si>
  <si>
    <t>Extintor de pó químico seco capacidade extintora de 20-BC</t>
  </si>
  <si>
    <t>16.13</t>
  </si>
  <si>
    <t>Extintor portátil de água pressurizada com capacidade extintora de 2-A - 10L</t>
  </si>
  <si>
    <t>16.14</t>
  </si>
  <si>
    <t>Fornecimento e instalação de esguicho p/mangueira de incêndio 2 1/2"</t>
  </si>
  <si>
    <t>16.15</t>
  </si>
  <si>
    <t>83633</t>
  </si>
  <si>
    <t>Hidrante de passeio</t>
  </si>
  <si>
    <t>16.16</t>
  </si>
  <si>
    <t>Luminária de emergência a 2,20m do piso</t>
  </si>
  <si>
    <t>16.17</t>
  </si>
  <si>
    <t>Luva de união com furo dia. 6mm para alivio da bomba</t>
  </si>
  <si>
    <t>16.18</t>
  </si>
  <si>
    <t>Niple duplo</t>
  </si>
  <si>
    <t>16.19</t>
  </si>
  <si>
    <t>Porta corta fogo (PCF - 60).</t>
  </si>
  <si>
    <t>16.20</t>
  </si>
  <si>
    <t>Quadro elétrico para acionamento automático e manual da bomba de incêndio</t>
  </si>
  <si>
    <t>16.21</t>
  </si>
  <si>
    <t>94499</t>
  </si>
  <si>
    <t>Registro de gaveta 2 1/2"</t>
  </si>
  <si>
    <t>16.22</t>
  </si>
  <si>
    <t>C2947</t>
  </si>
  <si>
    <t>Sinalização de advertência (segurança e proteção)</t>
  </si>
  <si>
    <t>16.23</t>
  </si>
  <si>
    <t>Sinalização de indicação (no solo) dos equipamentos de combate a incêndio pintada com cores e dimensões na prancha de detalhes.</t>
  </si>
  <si>
    <t>16.24</t>
  </si>
  <si>
    <t>Sirene de alarme visual (estroboscópica)</t>
  </si>
  <si>
    <t>16.25</t>
  </si>
  <si>
    <t>1419</t>
  </si>
  <si>
    <t>TÊ 2 1/2"</t>
  </si>
  <si>
    <t>16.26</t>
  </si>
  <si>
    <t>79504/005</t>
  </si>
  <si>
    <t>Tirante de rosca total 3/8"</t>
  </si>
  <si>
    <t>16.27</t>
  </si>
  <si>
    <t>Tubo de aço galvanizado com costura 2.1/2" (65mm), inclusive conexoes, fornecimento e
instalacao</t>
  </si>
  <si>
    <t>16.28</t>
  </si>
  <si>
    <t>C1694</t>
  </si>
  <si>
    <t>União 2 1/2"</t>
  </si>
  <si>
    <t>16.29</t>
  </si>
  <si>
    <t>Válvula de alívio</t>
  </si>
  <si>
    <t>16.30</t>
  </si>
  <si>
    <t>Válvula de fluxo</t>
  </si>
  <si>
    <t>16.31</t>
  </si>
  <si>
    <t>73795/011</t>
  </si>
  <si>
    <t>Válvula de retenção</t>
  </si>
  <si>
    <t>17.00</t>
  </si>
  <si>
    <t>INSTALAÇÕES DE CLIMATIZAÇÃO</t>
  </si>
  <si>
    <t>EQUIPAMENTOS</t>
  </si>
  <si>
    <t>17.1</t>
  </si>
  <si>
    <t>C3862</t>
  </si>
  <si>
    <t>Split suspenso no teto 25000 BTU (fornecimento e instalação)</t>
  </si>
  <si>
    <t>17.2</t>
  </si>
  <si>
    <t>C3861</t>
  </si>
  <si>
    <t>Split suspenso no teto 14000 BTU (fornecimento e instalação)</t>
  </si>
  <si>
    <t>17.3</t>
  </si>
  <si>
    <t>C3860</t>
  </si>
  <si>
    <t>Split suspenso no teto 12000 BTU (fornecimento e instalação)</t>
  </si>
  <si>
    <t>17.4</t>
  </si>
  <si>
    <t>Split de parede 9000 BTU (fornecimento e instalação)</t>
  </si>
  <si>
    <t>17.5</t>
  </si>
  <si>
    <t>Cpos</t>
  </si>
  <si>
    <t>Split de parede 14000 BTU (fornecimento e instalação)</t>
  </si>
  <si>
    <t>17.6</t>
  </si>
  <si>
    <t>C4122</t>
  </si>
  <si>
    <t>Sistema de ar condicionado exposição direta, c/ "fan coils" ("self contained" ou c/ unidade remota), tubulação, 12000 BTU (1 TR)</t>
  </si>
  <si>
    <t>TR</t>
  </si>
  <si>
    <t>17.7</t>
  </si>
  <si>
    <t>Sistema de ar condicionado exposição direta, c/ "fan coils" ("self contained" ou c/ unidade remota), tubulação, 25000 BTU (2,1 TR)</t>
  </si>
  <si>
    <t>17.8</t>
  </si>
  <si>
    <t>Sistema de ar condicionado exposição direta, c/ "fan coils" ("self contained" ou c/ unidade remota), tubulação, 24000 BTU (2 TR)</t>
  </si>
  <si>
    <t>17.9</t>
  </si>
  <si>
    <t>C4118</t>
  </si>
  <si>
    <t xml:space="preserve">Sistema de ar-condicionado exposição indireta, c/ "chillers", torres, redes hidráulicas </t>
  </si>
  <si>
    <t>DUTOS E ACESSÓRIOS</t>
  </si>
  <si>
    <t>17.10</t>
  </si>
  <si>
    <t>Rede de dutos para ar-condicionado com chapa de aço galvanizada nº 24, com isolamento térmico de eps = 25mm</t>
  </si>
  <si>
    <t>C4121</t>
  </si>
  <si>
    <t>Difusores para insuflamento de ar 800 m3/h</t>
  </si>
  <si>
    <t>17.11</t>
  </si>
  <si>
    <t>Difusores para insuflamento de ar 700 m3/h</t>
  </si>
  <si>
    <t>C4123</t>
  </si>
  <si>
    <t>Difusores para insuflamento de ar 550 m3/h</t>
  </si>
  <si>
    <t>17.12</t>
  </si>
  <si>
    <t>C4124</t>
  </si>
  <si>
    <t>Difusores para insuflamento de ar 310 m3/h</t>
  </si>
  <si>
    <t>C3873</t>
  </si>
  <si>
    <t>Grelhas de retorno 285 m3/h</t>
  </si>
  <si>
    <t>17.13</t>
  </si>
  <si>
    <t>Grelhas de retorno 345 m3/h</t>
  </si>
  <si>
    <t>Grelhas de retorno 685 m3/h</t>
  </si>
  <si>
    <t>17.14</t>
  </si>
  <si>
    <t>Grelhas de retorno 900 m3/h</t>
  </si>
  <si>
    <t>C3874</t>
  </si>
  <si>
    <t>Grelhas de retorno área = 0,40 m²</t>
  </si>
  <si>
    <t>17.15</t>
  </si>
  <si>
    <t>11316</t>
  </si>
  <si>
    <t>Exaustor de ar 285 m3/h</t>
  </si>
  <si>
    <t>Exaustor de ar 1000 m3/h</t>
  </si>
  <si>
    <t>18.00</t>
  </si>
  <si>
    <t>INSTALAÇÕES DE GÁS GLP</t>
  </si>
  <si>
    <t>Tubos e Conecções</t>
  </si>
  <si>
    <t>18.1</t>
  </si>
  <si>
    <t>Tê de cobre 3/4""</t>
  </si>
  <si>
    <t>18.2</t>
  </si>
  <si>
    <t>Cotovelo cobre 90° 3/4"</t>
  </si>
  <si>
    <t>18.3</t>
  </si>
  <si>
    <t>Tubo de cobre 15mm aço galvanizado</t>
  </si>
  <si>
    <t>18.4</t>
  </si>
  <si>
    <t>Tubo de cobre 22mm aço galvanizado</t>
  </si>
  <si>
    <t>18.5</t>
  </si>
  <si>
    <t>Tubo de cobre 28mm aço galvanizado</t>
  </si>
  <si>
    <t>18.6</t>
  </si>
  <si>
    <t>Fixador tipo "U" aço galvanizado p/ tubo 3/4"</t>
  </si>
  <si>
    <t>18.7</t>
  </si>
  <si>
    <t>Suporte fixo para parede fila simples em aço galvanizado</t>
  </si>
  <si>
    <t>18.8</t>
  </si>
  <si>
    <t>Parafuso cabeça panela aço galvanizado</t>
  </si>
  <si>
    <t>18.9</t>
  </si>
  <si>
    <t>Bucha parafuso para concreto em pvc</t>
  </si>
  <si>
    <t>18.10</t>
  </si>
  <si>
    <t>Caps de cobre 3/4" NPT</t>
  </si>
  <si>
    <t>18.11</t>
  </si>
  <si>
    <t>Redução rosca grossa</t>
  </si>
  <si>
    <t>18.12</t>
  </si>
  <si>
    <t>Mangote de borracha com malha de aço flexível alta pressão 7/8"x7/16x800m</t>
  </si>
  <si>
    <t>18.13</t>
  </si>
  <si>
    <t>União redutora de cobre 1/2x3/4"</t>
  </si>
  <si>
    <t>18.14</t>
  </si>
  <si>
    <t>Válvula esfera tripartida 1/2" NPT aço carbono</t>
  </si>
  <si>
    <t>18.15</t>
  </si>
  <si>
    <t>Regulador de pressão E 1/4"/ SAE 3/8" zamac-76506/18</t>
  </si>
  <si>
    <t>18.16</t>
  </si>
  <si>
    <t>Niple duplo de cobre 1/2" npt</t>
  </si>
  <si>
    <t>18.17</t>
  </si>
  <si>
    <t>Caixa passagem p/ registro geral 30x30cm</t>
  </si>
  <si>
    <t>Sinalização</t>
  </si>
  <si>
    <t>18.18</t>
  </si>
  <si>
    <t>Placa de sinalização p/ caixa do registro geral</t>
  </si>
  <si>
    <t>18.19</t>
  </si>
  <si>
    <t>Placas de advertência p/ central de GLP</t>
  </si>
  <si>
    <t>18.20</t>
  </si>
  <si>
    <t>Extintor pó químico seco 6kg C.E. de 20 B;C</t>
  </si>
  <si>
    <t>18.21</t>
  </si>
  <si>
    <t>Sinalização de indicação no solo</t>
  </si>
  <si>
    <t>18.22</t>
  </si>
  <si>
    <t>Base de concreto de 30cm</t>
  </si>
  <si>
    <t>Central do GLP</t>
  </si>
  <si>
    <t>18.23</t>
  </si>
  <si>
    <t>Alvenaria de embasamento em tijolo ceramico</t>
  </si>
  <si>
    <t>18.24</t>
  </si>
  <si>
    <t>Lastro de concreto</t>
  </si>
  <si>
    <t>18.25</t>
  </si>
  <si>
    <t>Alvenaria de vedação de blocos vazados de cerâmica de 9x19x19cm (espessura 9cm)</t>
  </si>
  <si>
    <t>18.26</t>
  </si>
  <si>
    <t>Laje pré-moldada para forro</t>
  </si>
  <si>
    <t>18.27</t>
  </si>
  <si>
    <t>Reboco ou massa única, interno e externo, em argamassa traço 1:2:8, preparo mecânico, aplicada manualmente na alvenaria, espessura de 25 mm.</t>
  </si>
  <si>
    <t>18.28</t>
  </si>
  <si>
    <t>Porta em grade 1,3X1,00m</t>
  </si>
  <si>
    <t>18.29</t>
  </si>
  <si>
    <t>Porta em grade 3,10X2,00m</t>
  </si>
  <si>
    <t>18.30</t>
  </si>
  <si>
    <t>Aplicação manual de pintura com tinta texturizada acrílica - pintura externa da unidade</t>
  </si>
  <si>
    <t>19.00</t>
  </si>
  <si>
    <t>INSTALAÇÕES DE GASES MEDICINAIS</t>
  </si>
  <si>
    <t>19.1</t>
  </si>
  <si>
    <t>Bomba de vácuo rotativo de palhetas refrigeradas a ar; motor elétrico trifásico, proteção IP-55; filtro particulado de sucção; reservatório de vácuo, com no mínimo 500 L, construído conforme NR-13; painel elétrico, construído conforme NR-10; deve atender as normas: RDC 50, NBR 12.188, NR – 10; CE MEDICAL CLASSE IIB E EM 46001  e ASME  Seção VII – Div.  I.</t>
  </si>
  <si>
    <t>19.2</t>
  </si>
  <si>
    <t>Caixa de setorização</t>
  </si>
  <si>
    <t>19.3</t>
  </si>
  <si>
    <t>Central de comutação para oxigênio gasoso, destinada a
operar 06 + 06 cilindros,12 unidades de tubulações flexíveis de alta pressão. Cilindros não inclusos.</t>
  </si>
  <si>
    <t>19.4</t>
  </si>
  <si>
    <t>08734</t>
  </si>
  <si>
    <t>Central para óxido nitroso, 03+03, 06 unidades de tubulações flexíveis, com serpentina e sem válvula de alta pressão.</t>
  </si>
  <si>
    <t>19.5</t>
  </si>
  <si>
    <t>Compressor para produção de ar comprimido medicinal, completo, materiais e dispositivos, conforme NBR 12188/2012; unidade secadora de ar comprimido por adsorção; conjunto de tratamento do Ar Comprimido.</t>
  </si>
  <si>
    <t>19.6</t>
  </si>
  <si>
    <t xml:space="preserve">Ident.Visual-Painel Alarme </t>
  </si>
  <si>
    <t>19.7</t>
  </si>
  <si>
    <t xml:space="preserve">Ident.Visual-Valv.Seção </t>
  </si>
  <si>
    <t>19.8</t>
  </si>
  <si>
    <t xml:space="preserve">Painel Alarme Ar </t>
  </si>
  <si>
    <t>19.9</t>
  </si>
  <si>
    <t>Painel Alarme N2O</t>
  </si>
  <si>
    <t>19.10</t>
  </si>
  <si>
    <t xml:space="preserve">Painel Alarme O2 </t>
  </si>
  <si>
    <t>19.11</t>
  </si>
  <si>
    <t>Painel Alarme VC</t>
  </si>
  <si>
    <t>19.12</t>
  </si>
  <si>
    <t>11213</t>
  </si>
  <si>
    <t>Régua p/gás medicinal,em alumínio,dimensões: 850x220x70mm,com: 01 ponto p/ oxigênio, 01 ponto p/ ar comprimido, 01 ponto p/ vácuo, 08 tomadas elétricas, 01 ponto p/ chamada de enfermagem (s/ o equipamento), mod.Square Line,VTC Vitatec ou similar</t>
  </si>
  <si>
    <t>19.13</t>
  </si>
  <si>
    <t>74145/001</t>
  </si>
  <si>
    <t>Pintura em tubos de cobre nas cores amarela, azul, verde e cinza - esmalte sintético</t>
  </si>
  <si>
    <t>19.14</t>
  </si>
  <si>
    <t>Posto Aparente Ar</t>
  </si>
  <si>
    <t>19.15</t>
  </si>
  <si>
    <t>Posto Aparente NO2</t>
  </si>
  <si>
    <t>19.16</t>
  </si>
  <si>
    <t>Posto Aparente O2</t>
  </si>
  <si>
    <t>19.17</t>
  </si>
  <si>
    <t>Posto Aparente VC</t>
  </si>
  <si>
    <t>19.18</t>
  </si>
  <si>
    <t>C2574</t>
  </si>
  <si>
    <t xml:space="preserve">Tubo de Cobre ASTM B-75 Classe A Ø15mm </t>
  </si>
  <si>
    <t>19.19</t>
  </si>
  <si>
    <t>C2575</t>
  </si>
  <si>
    <t xml:space="preserve">Tubo de Cobre ASTM B-75 Classe A Ø22mm </t>
  </si>
  <si>
    <t>19.20</t>
  </si>
  <si>
    <t>C2576</t>
  </si>
  <si>
    <t xml:space="preserve">Tubo de Cobre ASTM B-75 Classe A Ø28mm </t>
  </si>
  <si>
    <t>19.21</t>
  </si>
  <si>
    <t>C2577</t>
  </si>
  <si>
    <t xml:space="preserve">Tubo de Cobre ASTM B-75 Classe A Ø35mm </t>
  </si>
  <si>
    <t>19.22</t>
  </si>
  <si>
    <t>C2579</t>
  </si>
  <si>
    <t xml:space="preserve">Tubo de Cobre ASTM B-75 Classe A Ø54mm </t>
  </si>
  <si>
    <t>19.23</t>
  </si>
  <si>
    <t>C2701</t>
  </si>
  <si>
    <t>Válvula de seção, esfera, de latão, 1 1/2", NPT 300</t>
  </si>
  <si>
    <t>19.24</t>
  </si>
  <si>
    <t>C2700</t>
  </si>
  <si>
    <t>Válvula de seção, esfera, de latão, 1 1/4", NPT 300</t>
  </si>
  <si>
    <t>19.25</t>
  </si>
  <si>
    <t>C2699</t>
  </si>
  <si>
    <t>Válvula de seção, esfera, de latão, 1", NPT 300</t>
  </si>
  <si>
    <t>19.26</t>
  </si>
  <si>
    <t>C2697</t>
  </si>
  <si>
    <t>Válvula de seção, esfera, de latão, 1/2", NPT 300</t>
  </si>
  <si>
    <t>19.27</t>
  </si>
  <si>
    <t>C2698</t>
  </si>
  <si>
    <t>Válvula de seção, esfera, de latão, 3/4", NPT 300</t>
  </si>
  <si>
    <t>20.00</t>
  </si>
  <si>
    <t>LOUÇAS E METAIS</t>
  </si>
  <si>
    <t>20.01</t>
  </si>
  <si>
    <t>Vaso Sanitário Sifonado louça branca com parafuso,aruela e bucha,fornecimento e Instalações.</t>
  </si>
  <si>
    <t>20.02</t>
  </si>
  <si>
    <t>Vaso Sanitário Sifonado com caixa acoplada louça branca padrão médio,fornecimento e Instalações.</t>
  </si>
  <si>
    <t>20.03</t>
  </si>
  <si>
    <t>Orse/Se</t>
  </si>
  <si>
    <t>Assento plastico ,universal branco para vaso sanitário.</t>
  </si>
  <si>
    <t>20.04</t>
  </si>
  <si>
    <t>Caixa de Descarga de embutir com acabamento inox.</t>
  </si>
  <si>
    <t>20.05</t>
  </si>
  <si>
    <t>Seinfra/Ce</t>
  </si>
  <si>
    <t>C1997</t>
  </si>
  <si>
    <t>Porta papel de louça,branca,Fornecimento/Instalação.</t>
  </si>
  <si>
    <t>20.06</t>
  </si>
  <si>
    <t>Lavatório de Louça branca,suspenso 29,5x39cm,padrão popular,fornecimento/Instalação.</t>
  </si>
  <si>
    <t>20.07</t>
  </si>
  <si>
    <t>Torneira cromada curta p/ lav.de 1/2´´ou 3/4´´padrão médio.</t>
  </si>
  <si>
    <t>20.08</t>
  </si>
  <si>
    <t>Sifão do tipo garrafa em metal cromado 1x1,1/2´´,forn./Instalação</t>
  </si>
  <si>
    <t>20.09</t>
  </si>
  <si>
    <t>C1990</t>
  </si>
  <si>
    <t>Porta  Sabão  Liquído,de  VIDRO ,Fornecimento/Instalação.</t>
  </si>
  <si>
    <t>20.10</t>
  </si>
  <si>
    <t>C1996</t>
  </si>
  <si>
    <t>Porta Papel Toalha Metálico Fornecimento/Instalação.</t>
  </si>
  <si>
    <t>20.11</t>
  </si>
  <si>
    <t>Valvula Em Metal cromado 1.1/2´´-p/lav.,Fornecimento/Instalação.(escoamento)6</t>
  </si>
  <si>
    <t>20.12</t>
  </si>
  <si>
    <t>C3513</t>
  </si>
  <si>
    <t>Chuveiro cromado c/ Articulação .</t>
  </si>
  <si>
    <t>20.13</t>
  </si>
  <si>
    <t>Saboneteira de sobrepor ,tipo concha em aço inox,(fixa na parede),fornecimento /Instalação.</t>
  </si>
  <si>
    <t>20.14</t>
  </si>
  <si>
    <t>C0516</t>
  </si>
  <si>
    <t>Cabide de louça branco,c/01-gancho.</t>
  </si>
  <si>
    <t>20.15</t>
  </si>
  <si>
    <t>Ralo Sifonado PVC,DN=100x40cm,fornec./Instalação.</t>
  </si>
  <si>
    <t>20.16</t>
  </si>
  <si>
    <t>C2170</t>
  </si>
  <si>
    <t>Registro  de Pressão com canopla,cromado, DN=25mm (1´´)</t>
  </si>
  <si>
    <t>20.17</t>
  </si>
  <si>
    <t>Registro de Gaveta com canopla,cromado, DN=25mm (1´´),fornecimento e instalação.</t>
  </si>
  <si>
    <t>20.18</t>
  </si>
  <si>
    <t>C2504</t>
  </si>
  <si>
    <t>Torneira de pressão cromada longa, p/ pia .</t>
  </si>
  <si>
    <t>20.19</t>
  </si>
  <si>
    <t>C2496</t>
  </si>
  <si>
    <t>Torneira cirúrgica (instalada ).</t>
  </si>
  <si>
    <t>20.20</t>
  </si>
  <si>
    <t>74234/001</t>
  </si>
  <si>
    <t>Mictório de louça branca com pertences,c/registro de pressão 1/2´´c/ canopla cromada,acabamento simples e conj.p/fixação,Fornecimento /instalação.</t>
  </si>
  <si>
    <t>20.21</t>
  </si>
  <si>
    <t>Valvula em metal cromado   3.1/2´´x 1.1/2´´-p/ Pia .,Fornecimento /Instalação.</t>
  </si>
  <si>
    <t>20.22</t>
  </si>
  <si>
    <t>Cuba de embutir louça oval em louça branca 35x50cm,forn./inst.</t>
  </si>
  <si>
    <t>20.23</t>
  </si>
  <si>
    <t>Cuba de embutir de aço inoxidavel média ,Forn./Inst.</t>
  </si>
  <si>
    <t>20.24</t>
  </si>
  <si>
    <t>Válvula de Descarga 1.1/2´´com registro,acabamento em metal cromado ,Fornecimento/Instalação.</t>
  </si>
  <si>
    <t>20.25</t>
  </si>
  <si>
    <t>Seinfra-Ce</t>
  </si>
  <si>
    <t>C1898</t>
  </si>
  <si>
    <t>Peças de Apoio para Deficientes, c/  tubos  Inox,para Vaso sanitario.,L=60cm.</t>
  </si>
  <si>
    <t>20.26</t>
  </si>
  <si>
    <t>Peças de Apoio para Deficientes, c/  tubos  Inox,para Chuveiro=02-unidade de ,L=50cm.</t>
  </si>
  <si>
    <t>20.27</t>
  </si>
  <si>
    <t>Barra de Apoio em aço inox p/deficiente d=1. 1/4´´x 600mm,p/ Lavatorio.</t>
  </si>
  <si>
    <t>20.28</t>
  </si>
  <si>
    <t>C4068</t>
  </si>
  <si>
    <t>Bancada de Granito cor cinza E=2cm</t>
  </si>
  <si>
    <t>20.29</t>
  </si>
  <si>
    <t>C3682</t>
  </si>
  <si>
    <t>Tanque Em Aço Inox,c /Cuba E Esfregador,dim (1200x600x200)</t>
  </si>
  <si>
    <t>20.30</t>
  </si>
  <si>
    <t>Lavatorio de Higienização de mãos Coletivo,tipo calha em aço inox,exclusive:válv.sifão e torneiras.</t>
  </si>
  <si>
    <t>20.31</t>
  </si>
  <si>
    <t>C2311</t>
  </si>
  <si>
    <t xml:space="preserve">Tanque de Expurgo em aço inoxidavel </t>
  </si>
  <si>
    <t>20.32</t>
  </si>
  <si>
    <t>C3671</t>
  </si>
  <si>
    <t>Cone para Expurgo Em Aço Inox com Tampa E Grelha ,l=500mm,c=500mm,Altura até 300mm e saída D=100mm.</t>
  </si>
  <si>
    <t>20.33</t>
  </si>
  <si>
    <t>Bancada  em aço Inoxidavel ,acabamento lixado,rodopia,h=7cm.</t>
  </si>
  <si>
    <t>20.34</t>
  </si>
  <si>
    <t>Balção em granito ,cor cinza.espessura=2cm.</t>
  </si>
  <si>
    <t>20.35</t>
  </si>
  <si>
    <t>C3017</t>
  </si>
  <si>
    <t>Pia de aço inox (1,20x0,60cm),c/ 01-cuba inox E Acessórios.</t>
  </si>
  <si>
    <t>20.36</t>
  </si>
  <si>
    <t>C1903</t>
  </si>
  <si>
    <t>Pia de aço inox (1,50x0,60cm),c/ 01-cuba inox E Acessórios.</t>
  </si>
  <si>
    <t>20.37</t>
  </si>
  <si>
    <t>C3018</t>
  </si>
  <si>
    <t>Pia de aço inox( 1,80x0,60cm),c/ 01-cuba inox E Acessórios.</t>
  </si>
  <si>
    <t>20.38</t>
  </si>
  <si>
    <t>C3019</t>
  </si>
  <si>
    <t>Pia de aço inox (2,0x0,60cm ),c/ 01-cuba inox E Acessórios.</t>
  </si>
  <si>
    <t>20.39</t>
  </si>
  <si>
    <t>C1902</t>
  </si>
  <si>
    <t>Pia de aço inox (2,50x0,58cm ),c/ 01-cuba inox E Acessórios.</t>
  </si>
  <si>
    <t>20.40</t>
  </si>
  <si>
    <t>C3020</t>
  </si>
  <si>
    <t>Pia de aço inox 3,20x0,60 ),c/ 01-cuba inox E Acessórios.</t>
  </si>
  <si>
    <t>20.41</t>
  </si>
  <si>
    <t>C4070</t>
  </si>
  <si>
    <t>Divisória em  Granito,cor cinza espessura E=2cm</t>
  </si>
  <si>
    <t>20.42</t>
  </si>
  <si>
    <t>Peças de Apoio (Puxador) em Aço Inox em W.C.(Enfermarias,W.C PNE, E PCD.),02-Lados.Largura=050cm</t>
  </si>
  <si>
    <t>21.00</t>
  </si>
  <si>
    <t>PAVIMENTAÇÃO</t>
  </si>
  <si>
    <t>21.01</t>
  </si>
  <si>
    <t>Contrapiso em argamassa traco 1:4 (cimento e areia), espessura 7cm, preparo manual</t>
  </si>
  <si>
    <t>21.02</t>
  </si>
  <si>
    <t>21.03</t>
  </si>
  <si>
    <t>COMP-09</t>
  </si>
  <si>
    <t>Revestimento cerâmico para piso com placas tipo porcelanato de dimensões 60x60 cm aplicada em ambientes de área maior que 10 m². Af_06/2014</t>
  </si>
  <si>
    <t>21.04</t>
  </si>
  <si>
    <t>07768</t>
  </si>
  <si>
    <t>21.05</t>
  </si>
  <si>
    <t>21.06</t>
  </si>
  <si>
    <t xml:space="preserve">Manta Vinílica Condutiva 2mm de espessura, impermeável , resistência a produtos químicos , resistência ao escorregamento  </t>
  </si>
  <si>
    <t>21.07</t>
  </si>
  <si>
    <t>Piso linha Industrial Kitchen</t>
  </si>
  <si>
    <t>21.08</t>
  </si>
  <si>
    <t>Piso industrial de alta resistência, espessura 8mm, incluso juntas de dilatacao plasticas e polimento mecanizado</t>
  </si>
  <si>
    <t>21.09</t>
  </si>
  <si>
    <t>73922/004</t>
  </si>
  <si>
    <t>Piso cimentado traco 1:4 (cimento e areia) acabamento liso espessura 2,0cm, preparo manual da argamassa</t>
  </si>
  <si>
    <t>22.00</t>
  </si>
  <si>
    <t>REVESTIMENTOS, FORROS, MARCENARIA, SERRALHERIA E PINTURAS</t>
  </si>
  <si>
    <t>22.1</t>
  </si>
  <si>
    <t>REVESTIMENTO EXTERNO E  INTERNO  EM PAREDES</t>
  </si>
  <si>
    <t>22.1.1</t>
  </si>
  <si>
    <t>Chapisco interno e externo, aplicado tanto em pilares e vigas de concreto como em alvenaria de fachada, com colher de pedreiro. Argamassa traço 1:3 com preparo em misturador 300 kg.</t>
  </si>
  <si>
    <t>22.1.2</t>
  </si>
  <si>
    <t>22.1.3</t>
  </si>
  <si>
    <t>22.1.4</t>
  </si>
  <si>
    <t>C4445</t>
  </si>
  <si>
    <t>Cerâmica esmaltada c/arg. Pré-fabricada acima de 30x30 cm (900m²) - PEI 5/PEI4 p/ parede</t>
  </si>
  <si>
    <t>22.1.5</t>
  </si>
  <si>
    <t>C1849</t>
  </si>
  <si>
    <t>Pastilha porcelana c/argamassa flexivel - revestimento dos balcôes dos postos de enfermagem e recepção</t>
  </si>
  <si>
    <t>22.2</t>
  </si>
  <si>
    <t>FORROS E ELEMENTOS DECORATIVOS</t>
  </si>
  <si>
    <t>22.2.1</t>
  </si>
  <si>
    <t>C4294</t>
  </si>
  <si>
    <t>Forro de gesso acartonado estruturado - fornecimento e montagem</t>
  </si>
  <si>
    <t>22.2.2</t>
  </si>
  <si>
    <t>C4478</t>
  </si>
  <si>
    <t>Forro acústico tipo "sonex" em espuma flexível de poliuretano, autoextinguível, c/ superfície esculpida, cor branca 50/75 - fornecimento e montagem</t>
  </si>
  <si>
    <t>22.3</t>
  </si>
  <si>
    <t>SERRALHERIA</t>
  </si>
  <si>
    <t>22.3.1</t>
  </si>
  <si>
    <t xml:space="preserve">Seinfra </t>
  </si>
  <si>
    <t xml:space="preserve">C1448 </t>
  </si>
  <si>
    <t>Guarda-corpo em tubo de aço inox</t>
  </si>
  <si>
    <t>22.3.2</t>
  </si>
  <si>
    <t>C0924</t>
  </si>
  <si>
    <t>Corrimão em tubo de aço inox dn=2.1/2",em rampa e escadas</t>
  </si>
  <si>
    <t>22.3.3</t>
  </si>
  <si>
    <t>74194/001</t>
  </si>
  <si>
    <t>Escada tipo marinheiro em tubo aco galvanizado 1 1/2" 5 degraus</t>
  </si>
  <si>
    <t>23.00</t>
  </si>
  <si>
    <t>PINTURAS</t>
  </si>
  <si>
    <t>PAREDE</t>
  </si>
  <si>
    <t>23.1</t>
  </si>
  <si>
    <t>23.2</t>
  </si>
  <si>
    <t>Emassamento interno com massa pva duas demaos, em forro</t>
  </si>
  <si>
    <t>23.3</t>
  </si>
  <si>
    <t>Emassamento interno com massa acrilica, 2 demaos - paredes</t>
  </si>
  <si>
    <t>23.4</t>
  </si>
  <si>
    <t>Aplicação manual de pintura com tinta látex acrílica em paredes, duasdemãos.</t>
  </si>
  <si>
    <t>23.5</t>
  </si>
  <si>
    <t>23.6</t>
  </si>
  <si>
    <t>Aplicação de fundo selador látex pva em teto, uma demão</t>
  </si>
  <si>
    <t>23.7</t>
  </si>
  <si>
    <t>Aplicação manual de pintura com tinta látex pva em teto, duas demãos</t>
  </si>
  <si>
    <t>23.8</t>
  </si>
  <si>
    <t>Pintura epoxi incluso emassamento e fundo preparador (centro cirúrgico)</t>
  </si>
  <si>
    <t>24.00</t>
  </si>
  <si>
    <t>URBANIZAÇÃO/PAISAGISMO</t>
  </si>
  <si>
    <t>24.1</t>
  </si>
  <si>
    <t>Pintura das faixas de demarcacao das vagas de estacionamento, rampas e setas</t>
  </si>
  <si>
    <t>24.2</t>
  </si>
  <si>
    <t>74236/001</t>
  </si>
  <si>
    <t>Plantio de grama batatais em placa</t>
  </si>
  <si>
    <t>24.3</t>
  </si>
  <si>
    <t>Execução de passeio (calçada) com concreto moldado in loco, feito em obra, acabamento convencional, espessura de 6cm</t>
  </si>
  <si>
    <t>24.4</t>
  </si>
  <si>
    <t>Execução de pátio/estacionamento em piso intertravado, com bloco retangular cor natural de 20x10cm, espessura 8cm</t>
  </si>
  <si>
    <t>25.00</t>
  </si>
  <si>
    <t>DIVERSOS</t>
  </si>
  <si>
    <t>25.1</t>
  </si>
  <si>
    <t>C3651</t>
  </si>
  <si>
    <t>Bate Maca em aço Inoxidavel ,contra impacto em Porta, vai-vem de madeira, largura (L=20cm), comprimento (C=3,60m)</t>
  </si>
  <si>
    <t>25.2</t>
  </si>
  <si>
    <t>C0383</t>
  </si>
  <si>
    <t>Bate Maca em aço Inoxidavel ,contra impacto em parede</t>
  </si>
  <si>
    <t>25.3</t>
  </si>
  <si>
    <t>Limpeza final da obra</t>
  </si>
  <si>
    <t xml:space="preserve">TOTAL CONSTRUÇÃO </t>
  </si>
  <si>
    <t>NÚCLEO DE INFRAESTRUTURA EM SAÚDE</t>
  </si>
  <si>
    <t>CRONOGRAMA FÍSICO FINANCEIRO</t>
  </si>
  <si>
    <t>Tipo de Obra: Construção</t>
  </si>
  <si>
    <t>ITEM</t>
  </si>
  <si>
    <t>DISCRIMINAÇÃO</t>
  </si>
  <si>
    <t>% DO ITEM</t>
  </si>
  <si>
    <t>VALOR DO ITEM</t>
  </si>
  <si>
    <t>30 DIAS</t>
  </si>
  <si>
    <t>60 DIAS</t>
  </si>
  <si>
    <t>90 DIAS</t>
  </si>
  <si>
    <t>120 DIAS</t>
  </si>
  <si>
    <t>150 DIAS</t>
  </si>
  <si>
    <t>180 DIAS</t>
  </si>
  <si>
    <t>210 DIAS</t>
  </si>
  <si>
    <t>240 DIAS</t>
  </si>
  <si>
    <t>270 DIAS</t>
  </si>
  <si>
    <t>300 DIAS</t>
  </si>
  <si>
    <t>330 DIAS</t>
  </si>
  <si>
    <t>360 DIAS</t>
  </si>
  <si>
    <t>390 DIAS</t>
  </si>
  <si>
    <t>420 DIAS</t>
  </si>
  <si>
    <t>450 DIAS</t>
  </si>
  <si>
    <t>480 DIAS</t>
  </si>
  <si>
    <t>510 DIAS</t>
  </si>
  <si>
    <t>540 DIAS</t>
  </si>
  <si>
    <t>570 DIAS</t>
  </si>
  <si>
    <t>600 DIAS</t>
  </si>
  <si>
    <t>630 DIAS</t>
  </si>
  <si>
    <t>660 DIAS</t>
  </si>
  <si>
    <t>690 DIAS</t>
  </si>
  <si>
    <t>720 DIAS</t>
  </si>
  <si>
    <t>%</t>
  </si>
  <si>
    <t>VALOR</t>
  </si>
  <si>
    <t>TOTAL GERAL S/ ADM. LOCAL DA OBRA</t>
  </si>
  <si>
    <t>ADMININSTRAÇÃO LOCAL DA OBRA</t>
  </si>
  <si>
    <t>TOTAL GERAL C/ ADM. LOCAL DA OBRA</t>
  </si>
  <si>
    <t>TOTAL GERAL ACUMULADO</t>
  </si>
  <si>
    <t>Teresina(PI), 07 de abril de 2017</t>
  </si>
  <si>
    <t>PREVISÃO ORÇAMENTÁRIA-FINANCEIRA DE EXECUÇÃO DO EMPREENDIMENTO</t>
  </si>
  <si>
    <t>PREVISÃO DE ÍNICIO DA OBRA (MÊS):</t>
  </si>
  <si>
    <t>MAIO/2017</t>
  </si>
  <si>
    <t>ANO</t>
  </si>
  <si>
    <t>PERCENTUAL</t>
  </si>
  <si>
    <t>ANO 2017</t>
  </si>
  <si>
    <t>ANO 2018</t>
  </si>
  <si>
    <t>ANO 2019</t>
  </si>
  <si>
    <t>GABINETE DO SECRETÁRIO</t>
  </si>
  <si>
    <t>COORDENAÇÃO DE INFRA-ESTRUTURA EM SAÚDE</t>
  </si>
  <si>
    <r>
      <rPr>
        <b/>
        <sz val="10"/>
        <rFont val="Arial"/>
        <family val="2"/>
      </rPr>
      <t>Obra:</t>
    </r>
    <r>
      <rPr>
        <sz val="10"/>
        <rFont val="Arial"/>
        <family val="2"/>
      </rPr>
      <t xml:space="preserve"> Conclusão do Centro Integrado de Referência Médica de Picos</t>
    </r>
  </si>
  <si>
    <r>
      <t xml:space="preserve">Município: </t>
    </r>
    <r>
      <rPr>
        <sz val="10"/>
        <rFont val="Arial"/>
        <family val="2"/>
      </rPr>
      <t>Picos - PI</t>
    </r>
  </si>
  <si>
    <r>
      <rPr>
        <b/>
        <sz val="10"/>
        <rFont val="Arial"/>
        <family val="2"/>
      </rPr>
      <t>Endereço:</t>
    </r>
    <r>
      <rPr>
        <sz val="10"/>
        <rFont val="Arial"/>
        <family val="2"/>
      </rPr>
      <t xml:space="preserve"> Zona Urbana</t>
    </r>
  </si>
  <si>
    <r>
      <t xml:space="preserve">Data Base: </t>
    </r>
    <r>
      <rPr>
        <sz val="11"/>
        <rFont val="Arial"/>
        <family val="2"/>
      </rPr>
      <t>Setembro de 2016/Com Desoneração</t>
    </r>
  </si>
  <si>
    <t>COMPOSIÇÃO DO BDI</t>
  </si>
  <si>
    <t>DESCRIÇÃO</t>
  </si>
  <si>
    <t>Percentuais (%)</t>
  </si>
  <si>
    <t>X(%)=</t>
  </si>
  <si>
    <t>Y(%)=</t>
  </si>
  <si>
    <t>Z(%)=</t>
  </si>
  <si>
    <t>l(%)=</t>
  </si>
  <si>
    <t>Aplicando na fórmula acima, temos:</t>
  </si>
  <si>
    <t>BDI(%)=</t>
  </si>
  <si>
    <t>Setembro de 2016 c/ desoneração</t>
  </si>
  <si>
    <t>ENCARGOS SOCIAIS SOBRE A MÃO DE OBRA - COM DESONERAÇÃO</t>
  </si>
  <si>
    <t>CÓDIGO</t>
  </si>
  <si>
    <t>HORISTA %</t>
  </si>
  <si>
    <t>MENSALISTA %</t>
  </si>
  <si>
    <t>GRUPO A</t>
  </si>
  <si>
    <t>A1</t>
  </si>
  <si>
    <t>INSS</t>
  </si>
  <si>
    <t>A2</t>
  </si>
  <si>
    <t xml:space="preserve"> SESI</t>
  </si>
  <si>
    <t>A3</t>
  </si>
  <si>
    <t>SENAI</t>
  </si>
  <si>
    <t>A4</t>
  </si>
  <si>
    <t>INCRA</t>
  </si>
  <si>
    <t>A5</t>
  </si>
  <si>
    <t>SEBRAE</t>
  </si>
  <si>
    <t>A6</t>
  </si>
  <si>
    <t>Salário-Educação</t>
  </si>
  <si>
    <t>A7</t>
  </si>
  <si>
    <t>Seguro Contra Acidentes de Trabalho</t>
  </si>
  <si>
    <t>A8</t>
  </si>
  <si>
    <t>FGTS</t>
  </si>
  <si>
    <t>A9</t>
  </si>
  <si>
    <t>SECONCI</t>
  </si>
  <si>
    <t>A</t>
  </si>
  <si>
    <t>Total dos Encargos Sociais</t>
  </si>
  <si>
    <t>GRUPO B</t>
  </si>
  <si>
    <t>B1</t>
  </si>
  <si>
    <t>Repouso Semanal Remunerado</t>
  </si>
  <si>
    <t>B2</t>
  </si>
  <si>
    <t>Feriados</t>
  </si>
  <si>
    <t>B3</t>
  </si>
  <si>
    <t>Auxilio - enfermidade</t>
  </si>
  <si>
    <t>B4</t>
  </si>
  <si>
    <t xml:space="preserve"> 13º salário</t>
  </si>
  <si>
    <t>B5</t>
  </si>
  <si>
    <t>Licença Paternidade</t>
  </si>
  <si>
    <t>B6</t>
  </si>
  <si>
    <t>Faltas justificadas</t>
  </si>
  <si>
    <t>B7</t>
  </si>
  <si>
    <t>Dias de chuva</t>
  </si>
  <si>
    <t>B8</t>
  </si>
  <si>
    <t>Auxilio acidete de trabalho</t>
  </si>
  <si>
    <t>B9</t>
  </si>
  <si>
    <t>Férias Gozadas</t>
  </si>
  <si>
    <t>B10</t>
  </si>
  <si>
    <t>Salário Maternidade</t>
  </si>
  <si>
    <t>B</t>
  </si>
  <si>
    <t>Total dos Encargos Sociais que recebem incidências de A</t>
  </si>
  <si>
    <t>GRUPO C</t>
  </si>
  <si>
    <t>C1</t>
  </si>
  <si>
    <t>Aviso Prévio Indenizado</t>
  </si>
  <si>
    <t>C2</t>
  </si>
  <si>
    <t>Aviso Prévio Trabalhado</t>
  </si>
  <si>
    <t>C3</t>
  </si>
  <si>
    <t>Férias Idenizadas</t>
  </si>
  <si>
    <t>C4</t>
  </si>
  <si>
    <t>Depósito rescisão sem Justa Causa</t>
  </si>
  <si>
    <t>C5</t>
  </si>
  <si>
    <t>Idenização Adicional</t>
  </si>
  <si>
    <t>C</t>
  </si>
  <si>
    <t>Total dos Encargos Sociais que não recebem incidências globais de A</t>
  </si>
  <si>
    <t>GRUPO D</t>
  </si>
  <si>
    <t>D1</t>
  </si>
  <si>
    <t>Reincidência de Grupo A sobre Grupo B</t>
  </si>
  <si>
    <t>D2</t>
  </si>
  <si>
    <t>Reincidência de Grupo A sobre Aviso Prévio Trabalhado e Reincidência doFGTSsobre Aviso Prévio Indenizado</t>
  </si>
  <si>
    <t>D</t>
  </si>
  <si>
    <t>Total das Taxas incidências e reincidências</t>
  </si>
  <si>
    <t>TOTAL (A+B+C+D)</t>
  </si>
  <si>
    <t>COBERTURA GERAL-CENTRO REF.MEDICA DE PICOS-PI</t>
  </si>
  <si>
    <t>AMBIENTES-COBERTURAS: CORES</t>
  </si>
  <si>
    <t>ESTRUTURA METALICA (m²)</t>
  </si>
  <si>
    <t>TELHA METALICA ( m²)</t>
  </si>
  <si>
    <t>CALHA METALICA (m)</t>
  </si>
  <si>
    <t>RUFO METALICO-m</t>
  </si>
  <si>
    <t>CUMEEIRA METALICA-m</t>
  </si>
  <si>
    <t>ESTRUTURA p/ LANTERNIM</t>
  </si>
  <si>
    <t>Laje pre-moldada (m²)</t>
  </si>
  <si>
    <t>Impermeabilização de Laje</t>
  </si>
  <si>
    <t>CHAPIM</t>
  </si>
  <si>
    <t>Cor vermelha</t>
  </si>
  <si>
    <t>Auditorio,Atrio,Lobby,Apoio Administrativi,circulações,espera geral/ Recepção/Embarque/Desembarque/Escada/rampas/elevador.</t>
  </si>
  <si>
    <t>cor Amarela</t>
  </si>
  <si>
    <t>Internação geral/UTI-Adulta/UTI-Pediatrica/Centro Cirurgico/CentralMat. Esterilizado.</t>
  </si>
  <si>
    <t xml:space="preserve">  </t>
  </si>
  <si>
    <t>Internação Geral/ Nutrição E DIETETICA.</t>
  </si>
  <si>
    <t>Amoxarifado/Vestiários/Farmacia/Circulações/Doca dedescarga</t>
  </si>
  <si>
    <t>Sala grupo Gerador,central de gases e Suestação</t>
  </si>
  <si>
    <t>Acesso Rampa,Circulação ,Fosso elevador,tampa caixa d´´agua .</t>
  </si>
  <si>
    <t>SUB-TOTAL</t>
  </si>
  <si>
    <t>MARQUISES</t>
  </si>
  <si>
    <t>AMBIENTES: MARQUISES</t>
  </si>
  <si>
    <t>Estrutura metalica,m²</t>
  </si>
  <si>
    <t>Telha metalicam²</t>
  </si>
  <si>
    <t>calha metalica (m)</t>
  </si>
  <si>
    <t>Rufo metal.(m)</t>
  </si>
  <si>
    <t>cumeeira metal. (m)</t>
  </si>
  <si>
    <t>Painéis em Aluminio Composto (m²)</t>
  </si>
  <si>
    <t>Laje pre-moldada m²</t>
  </si>
  <si>
    <t>Impermeabilização da laje m²</t>
  </si>
  <si>
    <t>Forro degesso Acartonado</t>
  </si>
  <si>
    <t>Espera geral/Guarda de pertence.</t>
  </si>
  <si>
    <t>ÁTRIO/AUDITORIO/sala de reunião</t>
  </si>
  <si>
    <t>Doca de Descarga</t>
  </si>
  <si>
    <t>SUB-TOTAL GERAL</t>
  </si>
  <si>
    <t>AMBIENTES -COBERTURAS.</t>
  </si>
  <si>
    <t>LAVANDERIA</t>
  </si>
  <si>
    <t>CENTRAL DE TRATAMENTO DE RESIDUOS SÓLIDOS</t>
  </si>
  <si>
    <t>GUARITA</t>
  </si>
  <si>
    <t>G.L.P. =02-UNIDADE</t>
  </si>
  <si>
    <t>MORGUE-GUARDA DE CÁDAVER</t>
  </si>
  <si>
    <t>CENTRAL DE  GASES</t>
  </si>
  <si>
    <t>CASA DO GRUPO GERADOR</t>
  </si>
  <si>
    <t>SALA DA SUBESTAÇÂO</t>
  </si>
  <si>
    <t>CHILLERS</t>
  </si>
  <si>
    <t>LEVANTAMENTO TOTAL DE:</t>
  </si>
  <si>
    <t>ARGAMASSAS</t>
  </si>
  <si>
    <t>REVESTIMENTOS</t>
  </si>
  <si>
    <t>DESCRIÇÃO DA PINTURA</t>
  </si>
  <si>
    <t>DESCRIÇÃO DO FORRO</t>
  </si>
  <si>
    <t>FORRO/PINTURAS</t>
  </si>
  <si>
    <t>CHAPISCO</t>
  </si>
  <si>
    <t>EMBOÇO</t>
  </si>
  <si>
    <t>REBOCO</t>
  </si>
  <si>
    <t>CERÂMICO</t>
  </si>
  <si>
    <t>PASTILHA</t>
  </si>
  <si>
    <t>TINTA ACRÍLICA</t>
  </si>
  <si>
    <t>TINTA EPÓXI</t>
  </si>
  <si>
    <t>TEXTURA ACRÍLICA</t>
  </si>
  <si>
    <t>ACARTONADO/TINTA PVA</t>
  </si>
  <si>
    <t>MINERAL/TINTA VINÍLICA</t>
  </si>
  <si>
    <t>LAJE/TINTA PVA</t>
  </si>
  <si>
    <t>RODAPÉ PORCELANATO</t>
  </si>
  <si>
    <t>LOCAL</t>
  </si>
  <si>
    <t>PERÍMETRO</t>
  </si>
  <si>
    <t>PÉ DIREITO</t>
  </si>
  <si>
    <t>DESCONTO</t>
  </si>
  <si>
    <t>REVESTIMENTO DE PAREDE</t>
  </si>
  <si>
    <t>Chapisco</t>
  </si>
  <si>
    <t>Emboço</t>
  </si>
  <si>
    <t>Pintura</t>
  </si>
  <si>
    <t>ACRÍLICA</t>
  </si>
  <si>
    <t>EPÓXI</t>
  </si>
  <si>
    <t>TEXTURA</t>
  </si>
  <si>
    <t>ACARTONADO</t>
  </si>
  <si>
    <t>MINERAL</t>
  </si>
  <si>
    <t>LAJE</t>
  </si>
  <si>
    <t>PAVIMENTO TÉRREO - HOSPITAL</t>
  </si>
  <si>
    <t>FARMÁCIA</t>
  </si>
  <si>
    <t>&gt;&gt;</t>
  </si>
  <si>
    <t>FARMACEUTICO RESPONSÁVEL</t>
  </si>
  <si>
    <t>GERENTE DA FARMÁCIA</t>
  </si>
  <si>
    <t>CONTROLE DE INFORMAÇÕES DE MEDICAMENTOS</t>
  </si>
  <si>
    <t>COPA</t>
  </si>
  <si>
    <t>DML</t>
  </si>
  <si>
    <t>SALA DE DISTRIBUIÇÃO DE MEDICAMENTOS</t>
  </si>
  <si>
    <t>RECEPÇÃO/HALL</t>
  </si>
  <si>
    <t>CIRCULAÇÃO</t>
  </si>
  <si>
    <t>VESTIÁRIO</t>
  </si>
  <si>
    <t>SAN. MASC</t>
  </si>
  <si>
    <t>SAN. FEM</t>
  </si>
  <si>
    <t>ANTECAMARA</t>
  </si>
  <si>
    <t>ÁREA DE FRACIONAMENTO, EMBALAGEM E ROTULAGEM DE MEDICAMENTOS</t>
  </si>
  <si>
    <t>PREPARO DE SOLUÇÕES ORAIS</t>
  </si>
  <si>
    <t>CONTROLE DE QUALIDADE</t>
  </si>
  <si>
    <t>PREPARO DE SOLUÇÃO ENDOVENOSAS E INJETÁVEIS</t>
  </si>
  <si>
    <t>MEDICAMENTOS CONTROLADOS</t>
  </si>
  <si>
    <t>MATERIAL MÉDICO</t>
  </si>
  <si>
    <t>CÂMARA FRIGORÍFICA</t>
  </si>
  <si>
    <t>ALMOXARIFADO DE MEDICAMENTOS</t>
  </si>
  <si>
    <t>SALA ADMINISTRATIVA</t>
  </si>
  <si>
    <t>CIRCULAÇÕES</t>
  </si>
  <si>
    <t>ALMOXARIFADO</t>
  </si>
  <si>
    <t>ALMOXARIFADO 1</t>
  </si>
  <si>
    <t>HALL</t>
  </si>
  <si>
    <t>ALMOXARIFADO 2</t>
  </si>
  <si>
    <t>SALA ADMINISTRATIVA DO DEPOSITO GERAL DE MATERIAL DE LIMPEZA</t>
  </si>
  <si>
    <t>DEPOSITO GERAL DE MATERIAL DE LIMPEZA E ABASTECIMENTO DE CARROS</t>
  </si>
  <si>
    <t>VESTIÁRIO MASCULINO</t>
  </si>
  <si>
    <t>VEST PCD M</t>
  </si>
  <si>
    <t>VESTIÁRIO FEMININO</t>
  </si>
  <si>
    <t>VEST PCD F</t>
  </si>
  <si>
    <t>HALL VESTIÁRIOS</t>
  </si>
  <si>
    <t>NUTRIÇÃO E DIETÉTICA</t>
  </si>
  <si>
    <t>RECEPÇÃO, LAVAGEM DE MAMADEIRAS E UTENSÍLIOS</t>
  </si>
  <si>
    <t>DEPÓSITO DE FÓRMULAS LÁCTEAS E NÃO LÁCTEAS (CONSUMO DIÁRIO)</t>
  </si>
  <si>
    <t>REVEST.</t>
  </si>
  <si>
    <t>VESTIÁRIO DE BARREIRA</t>
  </si>
  <si>
    <t>DESINFECÇÃO DE MAMADEIRAS E UTENSÍLIOS</t>
  </si>
  <si>
    <t>PREPARO E ENVAZE DE MAMADEIRAS</t>
  </si>
  <si>
    <t>ESTOCAGEM E DISTRIBUIÇÃO</t>
  </si>
  <si>
    <t>HALL DE ENTRADA</t>
  </si>
  <si>
    <t>REFEITÓRIO + BALCAO ALIMENTAÇÃO</t>
  </si>
  <si>
    <t>GUARDA DE PRATOS, TALHERES E UTENSÍLIOS</t>
  </si>
  <si>
    <t>HIGIENIZAÇÃO DE PRATOS, TALHERES E UTENSILIOS</t>
  </si>
  <si>
    <t>ÁREA DE PREPARO DE SUCOS E LANCHES</t>
  </si>
  <si>
    <t>NUTRICIONISTA</t>
  </si>
  <si>
    <t>ÁREA DESTINADA A INSTALAÇÃO DA CÂMERA FRIA</t>
  </si>
  <si>
    <t>ÁREA DE CORTE DE CARNES, AVES E PEIXES</t>
  </si>
  <si>
    <t>HALL DE ACESSO A UAN</t>
  </si>
  <si>
    <t>DEPÓSITO DE GÊNEROS</t>
  </si>
  <si>
    <t>COCÇÃO/PREPARO</t>
  </si>
  <si>
    <t>CIRCULAÇÃO (VEST/FARMACIA)</t>
  </si>
  <si>
    <t>CIRCULAÇÃO DE SERVIÇOS</t>
  </si>
  <si>
    <t>INTERNAÇÃO GERAL</t>
  </si>
  <si>
    <t>ENFERMARIA 1</t>
  </si>
  <si>
    <t>WC 1</t>
  </si>
  <si>
    <t>ENFERMARIA 2</t>
  </si>
  <si>
    <t>WC 2</t>
  </si>
  <si>
    <t>ENFERMARIA 3</t>
  </si>
  <si>
    <t>WC 3</t>
  </si>
  <si>
    <t>ENFERMARIA 4</t>
  </si>
  <si>
    <t>WC 4</t>
  </si>
  <si>
    <t>CIRCULAÇÃO 1</t>
  </si>
  <si>
    <t>ENFERMARIA 5</t>
  </si>
  <si>
    <t>WC 5</t>
  </si>
  <si>
    <t>WC ACOMP. MASC DEF</t>
  </si>
  <si>
    <t>WC ACOMP. FEM</t>
  </si>
  <si>
    <t>DISCUSSÃO DE CASOS</t>
  </si>
  <si>
    <t>ESTAR ACOMPANHANTES</t>
  </si>
  <si>
    <t>ENFERMARIA 6</t>
  </si>
  <si>
    <t>WC 6</t>
  </si>
  <si>
    <t>ESTAR EQUIPES</t>
  </si>
  <si>
    <t>WC F</t>
  </si>
  <si>
    <t>WC M</t>
  </si>
  <si>
    <t>REPOUSO FEM</t>
  </si>
  <si>
    <t>REPOUSO MASC</t>
  </si>
  <si>
    <t>POSTO DE ENFERMAGEM E SERVIÇO</t>
  </si>
  <si>
    <t>ROUPA SUJA</t>
  </si>
  <si>
    <t>UTILIDADES</t>
  </si>
  <si>
    <t>ENFERMARIA 7</t>
  </si>
  <si>
    <t>WC 7</t>
  </si>
  <si>
    <t>ROUPARIA</t>
  </si>
  <si>
    <t>ESCADA</t>
  </si>
  <si>
    <t>CIRCULAÇÃO 2</t>
  </si>
  <si>
    <t>CIRCULAÇÃO 3</t>
  </si>
  <si>
    <t>ENFERMARIA 8</t>
  </si>
  <si>
    <t>WC 8</t>
  </si>
  <si>
    <t>ENFERMARIA 9</t>
  </si>
  <si>
    <t>WC 9</t>
  </si>
  <si>
    <t>ISOLAMENTO</t>
  </si>
  <si>
    <t>WC</t>
  </si>
  <si>
    <t>ENFERMARIA 10</t>
  </si>
  <si>
    <t>WC 10</t>
  </si>
  <si>
    <t>ATRIO/LOBBY AUDITÓRIO</t>
  </si>
  <si>
    <t>ADMINISTRAÇÃO</t>
  </si>
  <si>
    <t>SANITÁRIO FEM</t>
  </si>
  <si>
    <t>SANITÁRIO MASC</t>
  </si>
  <si>
    <t>SANITÁRIO PNE</t>
  </si>
  <si>
    <t>RACK/SERVIDOR</t>
  </si>
  <si>
    <t>SALA REUNIÃO</t>
  </si>
  <si>
    <t>DIRETOR GERAL</t>
  </si>
  <si>
    <t>SUPERINTENDENTE</t>
  </si>
  <si>
    <t>APOIO ADMINISTRATIVO</t>
  </si>
  <si>
    <t>SAME</t>
  </si>
  <si>
    <t>RECEPÇÃO/ESPERA/ ADMINISTRAÇÃO</t>
  </si>
  <si>
    <t>REPOUSO</t>
  </si>
  <si>
    <t>BANHEIRO</t>
  </si>
  <si>
    <t>ENTRADA/ESPERA</t>
  </si>
  <si>
    <t>ESPERA GERAL/ATENDIMENTO/GUARDA DE PERTENCES</t>
  </si>
  <si>
    <t>ATENDIMENTO</t>
  </si>
  <si>
    <t>TÉCNICOS E MANUTENÇÃO DE COMPUTADORES</t>
  </si>
  <si>
    <t>ESTAR MOTORISTA/COPA</t>
  </si>
  <si>
    <t>WC FEM</t>
  </si>
  <si>
    <t>WC MASC</t>
  </si>
  <si>
    <t>CIRC./ATENDIMENTO</t>
  </si>
  <si>
    <t>WC PCD FEM</t>
  </si>
  <si>
    <t>WC PCD MASC</t>
  </si>
  <si>
    <t>WC FEM (PUBLICO)</t>
  </si>
  <si>
    <t>WC MASC (PUBLICO)</t>
  </si>
  <si>
    <t>EMBARQUE E DESEMBARQUE</t>
  </si>
  <si>
    <t>DESEMBARQUE</t>
  </si>
  <si>
    <t>CIRCULAÇÃO PRINCIPAL DE EMERGENCIA</t>
  </si>
  <si>
    <t>JARDIM</t>
  </si>
  <si>
    <t>LANCHONETE</t>
  </si>
  <si>
    <t>COZINHA</t>
  </si>
  <si>
    <t>DEPÓSITO DE MATÉRIA PRIMA</t>
  </si>
  <si>
    <t>WC MASCULINO</t>
  </si>
  <si>
    <t>WC FEMININO</t>
  </si>
  <si>
    <t>HALL ELEVADOR E ESCADA</t>
  </si>
  <si>
    <t>CIRCULAÇÃO ACESSO A RAMPA</t>
  </si>
  <si>
    <t>RAMPA</t>
  </si>
  <si>
    <t>CIRCULAÇÃO (NUTRIÇÃO/INTERNAÇÃO GERAL)</t>
  </si>
  <si>
    <t>SANIT. MASC</t>
  </si>
  <si>
    <t>SANIT. FEM</t>
  </si>
  <si>
    <t>ÁREA PARA HIGIENIZAÇÃO E GUARDA DE CARROS E TRANSPORTE</t>
  </si>
  <si>
    <t>WC PCD F</t>
  </si>
  <si>
    <t>WC PCD M</t>
  </si>
  <si>
    <t>ESTAR EQUIPE/COPA</t>
  </si>
  <si>
    <t xml:space="preserve">WC </t>
  </si>
  <si>
    <t>UTI PEDIÁTRICA (10 LEITOS)</t>
  </si>
  <si>
    <t>QUARTO ISOLAMENTO</t>
  </si>
  <si>
    <t>RECINTOS DOS LEITOS</t>
  </si>
  <si>
    <t>POSTO ENFERMAGEM</t>
  </si>
  <si>
    <t>DEPOSITO MATERIAIS E EQUIPAMENTOS</t>
  </si>
  <si>
    <t>SANIT M</t>
  </si>
  <si>
    <t>SANIT F</t>
  </si>
  <si>
    <t>ESTAR/EQUIPE</t>
  </si>
  <si>
    <t>REPOUSO M.</t>
  </si>
  <si>
    <t>REPOUSO F.</t>
  </si>
  <si>
    <t>REGISTRO PACIENTES</t>
  </si>
  <si>
    <t>WC BARREIRA FEM</t>
  </si>
  <si>
    <t>WC BARREIRA MASC</t>
  </si>
  <si>
    <t>HEMATOLOGIA</t>
  </si>
  <si>
    <t>PREPARO DE REGENTES</t>
  </si>
  <si>
    <t>VEST. DE PARAMENTAÇÃO</t>
  </si>
  <si>
    <t>LABORATÓRIO TÉCNICO</t>
  </si>
  <si>
    <t>PARASITOLOGIA</t>
  </si>
  <si>
    <t>INTERPRETAÇÃO E IMPRESSÃO DE LAUDOS</t>
  </si>
  <si>
    <t>RECEPÇÃO AMOSTRAS</t>
  </si>
  <si>
    <t>CIRCUL.</t>
  </si>
  <si>
    <t>UTI ADULTO</t>
  </si>
  <si>
    <t>REPOUSO F</t>
  </si>
  <si>
    <t>REPOUSO M</t>
  </si>
  <si>
    <t>ESTAR DA EQUIPE</t>
  </si>
  <si>
    <t>GUARDA DE MATERIAIS E EQUIPAMENTOS</t>
  </si>
  <si>
    <t>SANIT MASC</t>
  </si>
  <si>
    <t>SANIT FEM</t>
  </si>
  <si>
    <t>SALA DE ACOMPANHANTES DA UTI</t>
  </si>
  <si>
    <t>LABORATÓRIO DE APOIO A UTIS</t>
  </si>
  <si>
    <t>DISCUSSÃO DE CASOS E ENTREVISTAS</t>
  </si>
  <si>
    <t>RECEPÇÃO AGENCIA TRANSFUSIONAL</t>
  </si>
  <si>
    <t>TESTE DE COMPATIBILIDADE SANGUINEA</t>
  </si>
  <si>
    <t>DISTRIBUIÇÃO</t>
  </si>
  <si>
    <t>CENTRO CIRURGICO</t>
  </si>
  <si>
    <t>UTILIDADES EXPURGO</t>
  </si>
  <si>
    <t>ESTAR 01</t>
  </si>
  <si>
    <t>ESTAR 02</t>
  </si>
  <si>
    <t>PRESCRIÇÃO MÉDICA</t>
  </si>
  <si>
    <t>SALA DE CIRURGIA 1</t>
  </si>
  <si>
    <t>SALA DE CIRURGIA 2</t>
  </si>
  <si>
    <t>SALA APOIO CIRURGIAS ESPECIALIZADAS</t>
  </si>
  <si>
    <t>SALA DE CIRURGIA 3</t>
  </si>
  <si>
    <t>SALA DE CIRURGIA 4</t>
  </si>
  <si>
    <t>DEPÓSITO DE MATERIAIS E EQUIPAMENTOS</t>
  </si>
  <si>
    <t>SALA DE CIRURGIA 5</t>
  </si>
  <si>
    <t>LAVABOS</t>
  </si>
  <si>
    <t>GUARDA DE HEMOCOMPONENTES</t>
  </si>
  <si>
    <t>GUARDA DE MACAS</t>
  </si>
  <si>
    <t>ADMINISTRAÇÃO DO ARSENAL</t>
  </si>
  <si>
    <t>GUARDA ANESTÉSICA</t>
  </si>
  <si>
    <t>SALA DE INDUÇÃO E REUPERAÇÃO PÓS ANESTÉSICA</t>
  </si>
  <si>
    <t>ARSENAL CC</t>
  </si>
  <si>
    <t>ARSENAL MATERIAL ESTERILIZADO</t>
  </si>
  <si>
    <t>SALA AUTOCLAVES</t>
  </si>
  <si>
    <t>CENTRAL MATERIAL ESTERILIZADO</t>
  </si>
  <si>
    <t>ESTAR EQUIPE</t>
  </si>
  <si>
    <t>ESTERILIZAÇÃO QUÍMICA</t>
  </si>
  <si>
    <t>RECEPÇÃO DE MATERIAL SUJO</t>
  </si>
  <si>
    <t>LAVAGEM E HIGIÊNIZAÇÃO DE MATERIAL</t>
  </si>
  <si>
    <t>ÁREA DE PREPARO</t>
  </si>
  <si>
    <t>RECEPÇÃO ROUPA LIMPA</t>
  </si>
  <si>
    <t>CIRCULAÇÃO DE ACESSO AO BLOCO ANEXO DE ATENDIMENTO IMEDIATO</t>
  </si>
  <si>
    <t>MORGUE</t>
  </si>
  <si>
    <t>CORREDOR DE LIGAÇÃO AO ANEXO</t>
  </si>
  <si>
    <t>ESTAR FAMILIARES</t>
  </si>
  <si>
    <t>WC PCD</t>
  </si>
  <si>
    <t>GUARDA TEMPORÁRIA DE CADAVER</t>
  </si>
  <si>
    <t>DOCA DE DESCARGA</t>
  </si>
  <si>
    <t>SAN. MASC.</t>
  </si>
  <si>
    <t>GUARDA TEMPORÁRIA DE RESIDUOS</t>
  </si>
  <si>
    <t>HIGIENIZAÇÃO DE EMBALAGENS</t>
  </si>
  <si>
    <t>DOSADORES</t>
  </si>
  <si>
    <t>INVERSORES</t>
  </si>
  <si>
    <t>ÁREA DE PROCESSAMENTO</t>
  </si>
  <si>
    <t>BARREIRA</t>
  </si>
  <si>
    <t>DEPÓSITO DE ROUPA LIMPA</t>
  </si>
  <si>
    <t>CHEFIA</t>
  </si>
  <si>
    <t>COSTURA</t>
  </si>
  <si>
    <t>BWC</t>
  </si>
  <si>
    <t>CENTRAL DE RESÍDUOS</t>
  </si>
  <si>
    <t>INFECTANTE</t>
  </si>
  <si>
    <t>ORGANICOS</t>
  </si>
  <si>
    <t>RESÍDUO INFECTANTE E ORGÂNICO</t>
  </si>
  <si>
    <t>PLASTICO</t>
  </si>
  <si>
    <t>PAPEL</t>
  </si>
  <si>
    <t>VIDRO/METAL</t>
  </si>
  <si>
    <t>RESÍDUO COMUM</t>
  </si>
  <si>
    <t>GAURDA E LAVAGEM DE CARRINHOS</t>
  </si>
  <si>
    <t>VEST MASC</t>
  </si>
  <si>
    <t>VEST FEM</t>
  </si>
  <si>
    <t>AUTOCLAVE</t>
  </si>
  <si>
    <t>LAVABO</t>
  </si>
  <si>
    <t>1° PAVIMENTO</t>
  </si>
  <si>
    <t>INTERNAÇÃO GERAL 3</t>
  </si>
  <si>
    <t>S. ADMINISTRATIVA</t>
  </si>
  <si>
    <t>WC ACOMPANHANTES</t>
  </si>
  <si>
    <t>ESTAR ACOMPANHANTE</t>
  </si>
  <si>
    <t>INTERNAÇÃO GERAL 4</t>
  </si>
  <si>
    <t>ESTAR/COPA</t>
  </si>
  <si>
    <t>LAV F</t>
  </si>
  <si>
    <t>LAV M</t>
  </si>
  <si>
    <t>ENFERMARIA 11</t>
  </si>
  <si>
    <t>WC 11</t>
  </si>
  <si>
    <t>ENFERMARIA 12</t>
  </si>
  <si>
    <t>WC 12</t>
  </si>
  <si>
    <t>ENFERMARIA 13</t>
  </si>
  <si>
    <t>WC 13</t>
  </si>
  <si>
    <t>ENFERMARIA 14</t>
  </si>
  <si>
    <t>WC 14</t>
  </si>
  <si>
    <t>INTERNAÇÃO GERAL 1</t>
  </si>
  <si>
    <t>WC ACOMP. FEM.</t>
  </si>
  <si>
    <t>INTERNAÇÃO GERAL 2</t>
  </si>
  <si>
    <t>BLOCO ___________</t>
  </si>
  <si>
    <t>CIRCULÇÃO (ACESSO ESCADA ATRIO)</t>
  </si>
  <si>
    <t>LAVABO MASC</t>
  </si>
  <si>
    <t>LAVABO FEM</t>
  </si>
  <si>
    <t>FOYER 02</t>
  </si>
  <si>
    <t>LAV. M. PCD</t>
  </si>
  <si>
    <t>LAV. F. PCD</t>
  </si>
  <si>
    <t>AUDITÓRIO</t>
  </si>
  <si>
    <t>DEPOSITO DE MATERIAIS E EQUIPAMENTOS</t>
  </si>
  <si>
    <t>CASA DE MAQUINAS E AR CONDICIONADO</t>
  </si>
  <si>
    <t>ÁREA DESTINADA A FUTURAS AMPLIAÇÕES</t>
  </si>
  <si>
    <t>PRISMA DE VENTILAÇÃO E ILUMINAÇÃO</t>
  </si>
  <si>
    <t>MACAS E CADEIRAS DE RODAS</t>
  </si>
  <si>
    <t>HALL CIRCULAÇÃO VERTICAL/ CIRCULAÇÃO</t>
  </si>
  <si>
    <t>ACESSO AO SHAFT</t>
  </si>
  <si>
    <t>2° PAVIMENTO</t>
  </si>
  <si>
    <t>FACHADAS/REVESTIMENTO EXTERNO</t>
  </si>
  <si>
    <t>PAREDES EXTERNAS</t>
  </si>
  <si>
    <t>EDIFICAÇÃO</t>
  </si>
  <si>
    <t>IMPERMEABILIZAÇÃO: LAJES INTERNAS - ÁREAS MOLHADAS</t>
  </si>
  <si>
    <t>H</t>
  </si>
  <si>
    <t>calhas, cisterna...</t>
  </si>
  <si>
    <t>PINTURA PISO / PAISAGISMO</t>
  </si>
  <si>
    <t>QTD</t>
  </si>
  <si>
    <t>RAMPAS</t>
  </si>
  <si>
    <t>SETAS</t>
  </si>
  <si>
    <t>FAIXAS</t>
  </si>
  <si>
    <t>VAGAS</t>
  </si>
  <si>
    <t>SIMBOLO</t>
  </si>
  <si>
    <t>TOTAL &gt;</t>
  </si>
  <si>
    <t>CALÇADAS</t>
  </si>
  <si>
    <t>ESTACIONAMENTO</t>
  </si>
  <si>
    <t>INSTALAÇÃO DE GÁS GLP</t>
  </si>
  <si>
    <t>REFERÊNCIA</t>
  </si>
  <si>
    <t>Quantidades</t>
  </si>
  <si>
    <t>Valor Total</t>
  </si>
  <si>
    <t>Posto 1</t>
  </si>
  <si>
    <t>Posto 3</t>
  </si>
  <si>
    <t>Cotação</t>
  </si>
  <si>
    <t>Botijão P-190</t>
  </si>
  <si>
    <t>Botijão P-13</t>
  </si>
  <si>
    <t>73870/001</t>
  </si>
  <si>
    <t>SINAPI</t>
  </si>
  <si>
    <t>150X70</t>
  </si>
  <si>
    <t>340X150</t>
  </si>
  <si>
    <t>PLOTAGEM DE PROJETOS</t>
  </si>
  <si>
    <t>PROJETOS</t>
  </si>
  <si>
    <t>QUANT. PRANCHAS</t>
  </si>
  <si>
    <t>ARQUITETÔNICO</t>
  </si>
  <si>
    <t>ELÉTRICO</t>
  </si>
  <si>
    <t>CHAMADA DE ENFERMAGEM</t>
  </si>
  <si>
    <t>CONTROLE DE ACESSO (Senha, Relógio Central, Automação Predial)</t>
  </si>
  <si>
    <t>ANTENA E SOM</t>
  </si>
  <si>
    <t>CABEAMENTO ESTRUTURADO</t>
  </si>
  <si>
    <t>GAS GLP</t>
  </si>
  <si>
    <t>HIDRÁULICO</t>
  </si>
  <si>
    <t>SANITÁRIO</t>
  </si>
  <si>
    <t>SPDA</t>
  </si>
  <si>
    <t>PROTEÇÃO E COMBATE A INCÊNDIO</t>
  </si>
  <si>
    <t>ÁGUAS PLUVIAIS</t>
  </si>
  <si>
    <t>GASES MEDICINAIS</t>
  </si>
  <si>
    <t>DRENOS AR CONDICIONADO</t>
  </si>
  <si>
    <t>CLIMATIZAÇÃO</t>
  </si>
  <si>
    <t>QUANTIDADE TOTAL DE PROJETOS:</t>
  </si>
  <si>
    <t>VIAS P/ PLOTAGEM:</t>
  </si>
  <si>
    <t>QUANTIDADE TOTAL:</t>
  </si>
  <si>
    <t>QUANTIDADE TOTAL</t>
  </si>
  <si>
    <t>LEVANTAMENTO DE PISO</t>
  </si>
  <si>
    <t>DESC. PER</t>
  </si>
  <si>
    <t>PORCELANATO NATURAL 60X60</t>
  </si>
  <si>
    <t>MANTA VINÍLICA ANTIDERRAPANTE</t>
  </si>
  <si>
    <t>MANTA VINÍLICA CONDUTIVA</t>
  </si>
  <si>
    <t>PISO CIMENTADO</t>
  </si>
  <si>
    <t>PISO GAIL INDUSTRIAL</t>
  </si>
  <si>
    <t>PISO INDUSTRIAL</t>
  </si>
  <si>
    <t>CONCRETO MAGRO</t>
  </si>
  <si>
    <t>x</t>
  </si>
  <si>
    <t>GRAMA</t>
  </si>
  <si>
    <t>Pavimento Técnico</t>
  </si>
  <si>
    <t>TOTAL GERAL</t>
  </si>
  <si>
    <t>TOTAL DE AMBIENTES:</t>
  </si>
  <si>
    <t>RESUMO - PISO</t>
  </si>
  <si>
    <t>TÉRREO</t>
  </si>
  <si>
    <t>1° PAV</t>
  </si>
  <si>
    <t>2° PAV</t>
  </si>
  <si>
    <t>Térreo</t>
  </si>
  <si>
    <t>Lavanderia</t>
  </si>
  <si>
    <t>Guarita</t>
  </si>
  <si>
    <t>Central de Resíduo</t>
  </si>
  <si>
    <t>1° Pavimento</t>
  </si>
  <si>
    <t>Total (TÉRREO E 1º PAVIMENTO)</t>
  </si>
  <si>
    <t>2° Pavimento</t>
  </si>
  <si>
    <t>área</t>
  </si>
  <si>
    <t>esp</t>
  </si>
  <si>
    <t>Volume</t>
  </si>
  <si>
    <t>Contra-Piso</t>
  </si>
  <si>
    <t xml:space="preserve">OBJETO: </t>
  </si>
  <si>
    <t>CONSTRUÇÃO DO HOSPITAL REGIONAL DE PICOS</t>
  </si>
  <si>
    <t>LOCAL:</t>
  </si>
  <si>
    <t>PICOS-PI</t>
  </si>
  <si>
    <t>SERVIÇO:</t>
  </si>
  <si>
    <t>ETAPA:</t>
  </si>
  <si>
    <t>Planilha Orçamentária</t>
  </si>
  <si>
    <t>Ref.: ABR/16 - Desonerada
B.D.I. Serviços - 24,93%
Tabelas: SINAPI/SEINFRA-CE (24)</t>
  </si>
  <si>
    <t>Banco</t>
  </si>
  <si>
    <t xml:space="preserve"> 1 </t>
  </si>
  <si>
    <t>INSTALAÇÕES HIDRÁULICAS - ÁREA 01 TÉRREO</t>
  </si>
  <si>
    <t xml:space="preserve"> 1.1 </t>
  </si>
  <si>
    <t>INSTALAÇÕES HIDRÁULICAS - TUBULAÇÃO (AF NBR 5648)</t>
  </si>
  <si>
    <t xml:space="preserve"> 1.1.1 </t>
  </si>
  <si>
    <t>TUBO, PVC, SOLDÁVEL, DN 25MM, INSTALADO EM RAMAL OU SUB-RAMAL DE ÁGUA - FORNECIMENTO E INSTALAÇÃO. AF_12/2014_P</t>
  </si>
  <si>
    <t xml:space="preserve"> 1.1.2 </t>
  </si>
  <si>
    <t>TUBO, PVC, SOLDÁVEL, DN 50MM, INSTALADO EM PRUMADA DE ÁGUA - FORNECIMENTO E INSTALAÇÃO. AF_12/2014_P</t>
  </si>
  <si>
    <t xml:space="preserve"> 1.1.3 </t>
  </si>
  <si>
    <t>TUBO, PVC, SOLDÁVEL, DN 60MM, INSTALADO EM PRUMADA DE ÁGUA - FORNECIMENTO E INSTALAÇÃO. AF_12/2014_P</t>
  </si>
  <si>
    <t xml:space="preserve"> 1.1.4 </t>
  </si>
  <si>
    <t>SEINFRA</t>
  </si>
  <si>
    <t>TUBO PVC SOLD. MARROM D=110mm (4")</t>
  </si>
  <si>
    <t xml:space="preserve"> 1.1.5 </t>
  </si>
  <si>
    <t>RASGO EM ALVENARIA PARA RAMAIS/ DISTRIBUIÇÃO COM DIAMETROS MENORES OU IGUAIS A 40 MM. AF_05/2015</t>
  </si>
  <si>
    <t xml:space="preserve"> 1.1.6 </t>
  </si>
  <si>
    <t>CHUMBAMENTO LINEAR EM ALVENARIA PARA RAMAIS/DISTRIBUIÇÃO COM DIÂMETROS MENORES OU IGUAIS A 40 MM. AF_05/2015</t>
  </si>
  <si>
    <t xml:space="preserve"> 1.2 </t>
  </si>
  <si>
    <t>INSTALAÇÕES HIDRAULICAS - CONEXÕES (AF NBR 5648)</t>
  </si>
  <si>
    <t xml:space="preserve"> 1.2.1 </t>
  </si>
  <si>
    <t>BUCHA REDUÇÃO PVC ROSC. D=1 1/2</t>
  </si>
  <si>
    <t xml:space="preserve"> 1.2.2 </t>
  </si>
  <si>
    <t>BUCHA REDUÇÃO PVC ROSC. D=2</t>
  </si>
  <si>
    <t xml:space="preserve"> 1.2.3 </t>
  </si>
  <si>
    <t>CRUZETA PVC SOLD. MARROM D=50mm (1 1/2")</t>
  </si>
  <si>
    <t xml:space="preserve"> 1.2.4 </t>
  </si>
  <si>
    <t>JOELHO 45 GRAUS, PVC, SOLDÁVEL, DN 25MM, INSTALADO EM PRUMADA DE ÁGUA - FORNECIMENTO E INSTALAÇÃO. AF_12/2014_P</t>
  </si>
  <si>
    <t xml:space="preserve"> 1.2.5 </t>
  </si>
  <si>
    <t>JOELHO 45 GRAUS, PVC, SOLDÁVEL, DN 50MM, INSTALADO EM PRUMADA DE ÁGUA - FORNECIMENTO E INSTALAÇÃO. AF_12/2014_P</t>
  </si>
  <si>
    <t xml:space="preserve"> 1.2.6 </t>
  </si>
  <si>
    <t>JOELHO 90 GRAUS, PVC, SOLDÁVEL, DN 25MM, INSTALADO EM RAMAL OU SUB-RAMAL DE ÁGUA - FORNECIMENTO E INSTALAÇÃO. AF_12/2014_P</t>
  </si>
  <si>
    <t xml:space="preserve"> 1.2.7 </t>
  </si>
  <si>
    <t>JOELHO 90 GRAUS, PVC, SOLDÁVEL, DN 50MM, INSTALADO EM PRUMADA DE ÁGUA - FORNECIMENTO E INSTALAÇÃO. AF_12/2014_P</t>
  </si>
  <si>
    <t xml:space="preserve"> 1.2.8 </t>
  </si>
  <si>
    <t>JOELHO 90 GRAUS, PVC, SOLDÁVEL, DN 60MM, INSTALADO EM PRUMADA DE ÁGUA - FORNECIMENTO E INSTALAÇÃO. AF_12/2014_P</t>
  </si>
  <si>
    <t xml:space="preserve"> 1.2.9 </t>
  </si>
  <si>
    <t>JOELHO 90 GRAUS COM BUCHA DE LATÃO, PVC, SOLDÁVEL, DN 25MM, X 3/4" INSTALADO EM RAMAL OU SUB-RAMAL DE ÁGUA - FORNECIMENTO E INSTALAÇÃO. AF_12/2014_P</t>
  </si>
  <si>
    <t xml:space="preserve"> 1.2.10 </t>
  </si>
  <si>
    <t>LUVA COM BUCHA DE LATÃO, PVC, SOLDÁVEL, DN 25MM X 3/4", INSTALADO EM RAMAL OU SUB-RAMAL DE ÁGUA - FORNECIMENTO E INSTALAÇÃO. AF_12/2014_P</t>
  </si>
  <si>
    <t xml:space="preserve"> 1.2.11 </t>
  </si>
  <si>
    <t>LUVA DE CORRER, PVC, SOLDÁVEL, DN 25MM, INSTALADO EM RAMAL OU SUB-RAMAL DE ÁGUA - FORNECIMENTO E INSTALAÇÃO. AF_12/2014_P</t>
  </si>
  <si>
    <t xml:space="preserve"> 1.2.12 </t>
  </si>
  <si>
    <t xml:space="preserve"> 73663 </t>
  </si>
  <si>
    <t>REGISTRO DE GAVETA COM CANOPLA Ø 25MM (1) - FORNECIMENTO E INSTALAÇÃO</t>
  </si>
  <si>
    <t xml:space="preserve"> 1.2.13 </t>
  </si>
  <si>
    <t>REGISTRO DE GAVETA BRUTO D= 50mm (2")</t>
  </si>
  <si>
    <t xml:space="preserve"> 1.2.14 </t>
  </si>
  <si>
    <t>TE, 90 GRAUS, PVC RÍGIDO SOLDAVEL, LLR, C/BUCHA LATÃO CENTRAL, d= 25 x 3/4", FORNECIMENTO E INSTALAÇÃO</t>
  </si>
  <si>
    <t xml:space="preserve"> 1.2.15 </t>
  </si>
  <si>
    <t>TÊ PVC SOLD. MARROM D= 50mm (1 1/2")</t>
  </si>
  <si>
    <t xml:space="preserve"> 1.2.16 </t>
  </si>
  <si>
    <t>TÊ PVC SOLD. MARROM D= 60mm (2")</t>
  </si>
  <si>
    <t xml:space="preserve"> 1.2.17 </t>
  </si>
  <si>
    <t>TÊ PVC SOLD. MARROM D= 25mm (3/4")</t>
  </si>
  <si>
    <t xml:space="preserve"> 1.2.19 </t>
  </si>
  <si>
    <t>TÊ DE REDUÇÃO, PVC, SOLDÁVEL, DN 50MM X 25MM, INSTALADO EM PRUMADA DE ÁGUA - FORNECIMENTO E INSTALAÇÃO. AF_12/2014_P</t>
  </si>
  <si>
    <t xml:space="preserve"> 1.2.20 </t>
  </si>
  <si>
    <t>VÁLVULA DE DESCARGA PVC RÍGIDO S/REGISTRO .ACOPLADO. D=50mm (1 1/2")</t>
  </si>
  <si>
    <t xml:space="preserve"> 1.2.21 </t>
  </si>
  <si>
    <t>BUCHA DE REDUCAO DE PVC, SOLDAVEL, LONGA, COM 110 X 60 MM, PARA AGUA FRIA PREDIAL</t>
  </si>
  <si>
    <t xml:space="preserve"> 1.2.22 </t>
  </si>
  <si>
    <t>BUCHA DE REDUCAO DE PVC, SOLDAVEL, LONGA, COM 60 X 25 MM, PARA AGUA FRIA PREDIAL</t>
  </si>
  <si>
    <t xml:space="preserve"> 1.2.23 </t>
  </si>
  <si>
    <t>REGISTRO DE PRESSÃO BRUTO, LATÃO, ROSCÁVEL, 3/4", COM ACABAMENTO E CANOPLA CROMADOS. FORNECIDO E INSTALADO EM RAMAL DE ÁGUA. AF_12/2014</t>
  </si>
  <si>
    <t xml:space="preserve"> 1.2.24 </t>
  </si>
  <si>
    <t>CONJUNTO DE REDUÇÃO TE/BUCHA PVC, 60X50MM, FORNECIMENTO E INSTALAÇÃO</t>
  </si>
  <si>
    <t xml:space="preserve"> 1.2.25 </t>
  </si>
  <si>
    <t>CONJUNTO DE REDUÇÃO TÊ/BUCHA DE PVC, 60X25MM, FORNECIMENTO E INSTALAÇÃO</t>
  </si>
  <si>
    <t xml:space="preserve"> 1.3 </t>
  </si>
  <si>
    <t>INSTALAÇÕES HIDRAULICAS - TUBULAÇÃO (AQ NBR 5626)</t>
  </si>
  <si>
    <t xml:space="preserve"> 1.3.1 </t>
  </si>
  <si>
    <t>TUBOS ÁGUA QUENTE</t>
  </si>
  <si>
    <t xml:space="preserve"> 1.3.1.1 </t>
  </si>
  <si>
    <t xml:space="preserve"> 74061/008 </t>
  </si>
  <si>
    <t>TUBO DE COBRE CLASSE "E" 79MM - FORNECIMENTO E INSTALACAO</t>
  </si>
  <si>
    <t xml:space="preserve"> 1.3.1.2 </t>
  </si>
  <si>
    <t>TUBO COBRE D= 22mm (3/4") CLASSE E</t>
  </si>
  <si>
    <t xml:space="preserve"> 1.3.1.3 </t>
  </si>
  <si>
    <t>TUBO COBRE D= 28mm (1") CLASSE E</t>
  </si>
  <si>
    <t xml:space="preserve"> 1.3.1.4 </t>
  </si>
  <si>
    <t>TUBO COBRE D= 35mm (1 1/4") CLASSE E</t>
  </si>
  <si>
    <t xml:space="preserve"> 1.3.1.5 </t>
  </si>
  <si>
    <t>TUBO COBRE D= 42mm (1 1/2") CLASSE E</t>
  </si>
  <si>
    <t xml:space="preserve"> 1.3.1.6 </t>
  </si>
  <si>
    <t>TUBO COBRE D= 66mm (2 1/2") CLASSE E</t>
  </si>
  <si>
    <t xml:space="preserve"> 1.3.1.7 </t>
  </si>
  <si>
    <t xml:space="preserve"> 1.3.1.8 </t>
  </si>
  <si>
    <t xml:space="preserve"> 1.3.2 </t>
  </si>
  <si>
    <t>TUBOS ÁGUA QUENTE - RETORNO</t>
  </si>
  <si>
    <t xml:space="preserve"> 1.3.2.1 </t>
  </si>
  <si>
    <t xml:space="preserve"> 1.3.2.2 </t>
  </si>
  <si>
    <t xml:space="preserve"> 1.3.2.3 </t>
  </si>
  <si>
    <t xml:space="preserve"> 1.3.2.4 </t>
  </si>
  <si>
    <t xml:space="preserve"> 1.3.2.5 </t>
  </si>
  <si>
    <t xml:space="preserve"> 1.3.2.6 </t>
  </si>
  <si>
    <t xml:space="preserve"> 1.3.2.7 </t>
  </si>
  <si>
    <t xml:space="preserve"> 1.4 </t>
  </si>
  <si>
    <t>INSTALAÇÕES HIDRAULICAS - CONEXÕES (AQ NBR 5626)</t>
  </si>
  <si>
    <t xml:space="preserve"> 1.4.1 </t>
  </si>
  <si>
    <t>BUCHA DE REDUÇÃO EM COBRE, SEM ANEL DE SOLDA, PONTA X BOLSA, 28 X 22 MM, INSTALADO EM RAMAL E SUB-RAMAL   FORNECIMENTO E INSTALAÇÃO. AF_01/2016_P</t>
  </si>
  <si>
    <t xml:space="preserve"> 1.4.2 </t>
  </si>
  <si>
    <t>BUCHA DE REDUÇÃO EM COBRE, SEM ANEL DE SOLDA, PONTA X BOLSA, 79X66mm INSTALADO EM RAMAL E SUB-RAMAL, FORNECIMENTO E INSTALAÇÃO.</t>
  </si>
  <si>
    <t xml:space="preserve"> 1.4.3 </t>
  </si>
  <si>
    <t>BUCHA DE REDUÇÃO EM COBRE, SEM ANEL DE SOLDA, PONTA X BOLSA, 66X42mm INSTALADO EM RAMAL E SUB-RAMAL, FORNECIMENTO E INSTALAÇÃO.</t>
  </si>
  <si>
    <t xml:space="preserve"> 1.4.4 </t>
  </si>
  <si>
    <t>BUCHA DE REDUÇÃO EM COBRE, SEM ANEL DE SOLDA, PONTA X BOLSA, 42X22mm INSTALADO EM RAMAL E SUB-RAMAL, FORNECIMENTO E INSTALAÇÃO.</t>
  </si>
  <si>
    <t xml:space="preserve"> 1.4.5 </t>
  </si>
  <si>
    <t>COTOVELO DE COBRE, 90 GRAUS, SEM ANEL DE SOLDA, DN 22 MM, INSTALADO EM RAMAL E SUB-RAMAL - FORNECIMENTO E INSTALAÇÃO. AF_12/2015_P</t>
  </si>
  <si>
    <t xml:space="preserve"> 1.4.6 </t>
  </si>
  <si>
    <t>COTOVELO DE COBRE, 90 GRAUS, SEM ANEL DE SOLDA, DN 28 MM, INSTALADO EM RAMAL E SUB-RAMAL - FORNECIMENTO E INSTALAÇÃO. AF_12/2015_P</t>
  </si>
  <si>
    <t xml:space="preserve"> 1.4.7 </t>
  </si>
  <si>
    <t>COTOVELO DE COBRE, 90 GRAUS, SEM ANEL DE SOLDA, DN 42 MM, INSTALADO EM PRUMADA - FORNECIMENTO E INSTALAÇÃO. AF_12/2015_P</t>
  </si>
  <si>
    <t xml:space="preserve"> 1.4.8 </t>
  </si>
  <si>
    <t>REGISTRO DE GAVETA BRUTO, LATÃO, ROSCÁVEL, 3/4", COM ACABAMENTO E CANOPLA CROMADOS. FORNECIDO E INSTALADO EM RAMAL DE ÁGUA. AF_12/2014</t>
  </si>
  <si>
    <t xml:space="preserve"> 1.4.9 </t>
  </si>
  <si>
    <t xml:space="preserve"> 1.4.10 </t>
  </si>
  <si>
    <t>TÊ COBRE OU BRONZE D= 22mm (3/4")</t>
  </si>
  <si>
    <t xml:space="preserve"> 1.4.11 </t>
  </si>
  <si>
    <t>TÊ COBRE OU BRONZE D= 28mm (1")</t>
  </si>
  <si>
    <t xml:space="preserve"> 1.4.12 </t>
  </si>
  <si>
    <t>TÊ COBRE OU BRONZE D= 35mm (1 1/4")</t>
  </si>
  <si>
    <t xml:space="preserve"> 1.4.13 </t>
  </si>
  <si>
    <t>CONJUNTO DE REDUÇÃO COM TE/BUCHA DE REDUÇÃO DE COBRE, 42X35MM, FORNECIMENTO E INSTALAÇÃO</t>
  </si>
  <si>
    <t xml:space="preserve"> 1.5 </t>
  </si>
  <si>
    <t>METAIS E LOUÇAS SANITÁRIAS</t>
  </si>
  <si>
    <t xml:space="preserve"> 1.5.2 </t>
  </si>
  <si>
    <t xml:space="preserve"> C0350 </t>
  </si>
  <si>
    <t>BACIA SIFONADA DE LOUÇA BRANCA C/ACESSÓRIOS E TUBO DE LIGAÇÃO</t>
  </si>
  <si>
    <t xml:space="preserve"> 1.5.3 </t>
  </si>
  <si>
    <t xml:space="preserve"> 86931 </t>
  </si>
  <si>
    <t>VASO SANITÁRIO SIFONADO COM CAIXA ACOPLADA LOUÇA BRANCA - PADRÃO MÉDIO, INCLUSO ENGATE FLEXÍVEL EM PLÁSTICO BRANCO, 1/2 X 40CM - FORNECIMENTO E INSTALAÇÃO. AF_12/2013</t>
  </si>
  <si>
    <t xml:space="preserve"> 1.5.4 </t>
  </si>
  <si>
    <t>BEBEDOURO EM AÇO INOX COM 1,60m</t>
  </si>
  <si>
    <t xml:space="preserve"> 1.5.5 </t>
  </si>
  <si>
    <t>CHUVEIRO CROMADO C/ ARTICULAÇÃO</t>
  </si>
  <si>
    <t xml:space="preserve"> 1.5.6 </t>
  </si>
  <si>
    <t>KIT DE MISTURADOR BASE BRUTA DE LATÃO ¾" MONOCOMANDO PARA CHUVEIRO, INCLUSIVE CONEXÕES, INSTALADO EM RAMAL DE ÁGUA - FORNECIMENTO E INSTALAÇÃO. AF_12/2014</t>
  </si>
  <si>
    <t xml:space="preserve"> 1.5.7 </t>
  </si>
  <si>
    <t>DUCHA P/ WC CROMADO (INSTALADO)</t>
  </si>
  <si>
    <t xml:space="preserve"> 1.5.8 </t>
  </si>
  <si>
    <t xml:space="preserve"> C3671 </t>
  </si>
  <si>
    <t>CONE PARA EXPURGO EM AÇO INOX COM TAMPA E GRELHA - L=500MM X C=500MM, ALTURA ATÉ 300MM E SAÍDA D=100MM</t>
  </si>
  <si>
    <t xml:space="preserve"> 1.5.9 </t>
  </si>
  <si>
    <t>FILTRO DE PAREDE INDUSTRIAL (INSTALADO)</t>
  </si>
  <si>
    <t xml:space="preserve"> 1.5.10 </t>
  </si>
  <si>
    <t xml:space="preserve"> 86941 </t>
  </si>
  <si>
    <t>LAVATÓRIO LOUÇA BRANCA COM COLUNA, 45 X 55CM OU EQUIVALENTE, PADRÃO MÉDIO, INCLUSO SIFÃO TIPO GARRAFA, VÁLVULA E ENGATE FLEXÍVEL DE 40CM EM METAL CROMADO, COM TORNEIRA CROMADA DE MESA, PADRÃO MÉDIO - FORNECIMENTO E INSTALAÇÃO. AF_12/2013</t>
  </si>
  <si>
    <t xml:space="preserve"> 1.5.11 </t>
  </si>
  <si>
    <t xml:space="preserve"> C3018 </t>
  </si>
  <si>
    <t>PIA DE AÇO INOX  (2.20x0.60)m C/ 1 CUBA E ACESSÓRIOS</t>
  </si>
  <si>
    <t xml:space="preserve"> 1.5.12 </t>
  </si>
  <si>
    <t xml:space="preserve"> 86920 </t>
  </si>
  <si>
    <t>TANQUE DE LOUÇA BRANCA COM COLUNA, 30L OU EQUIVALENTE, INCLUSO SIFÃO FLEXÍVEL EM PVC, VÁLVULA PLÁSTICA E TORNEIRA DE METAL CROMADO PADRÃO POPULAR - FORNECIMENTO E INSTALAÇÃO. AF_12/2013_P</t>
  </si>
  <si>
    <t xml:space="preserve"> 1.5.13 </t>
  </si>
  <si>
    <t xml:space="preserve"> 86910 </t>
  </si>
  <si>
    <t>TORNEIRA CROMADA TUBO MÓVEL, DE PAREDE, 1/2" OU 3/4", PARA PIA DE COZINHA, PADRÃO MÉDIO - FORNECIMENTO E INSTALAÇÃO. AF_12/2013</t>
  </si>
  <si>
    <t>INSTALAÇÕES HIDRÁULICAS - ÁREA 02 e 03 TÉRREO</t>
  </si>
  <si>
    <t>TUBO, PVC, SOLDÁVEL, DN 75MM, INSTALADO EM PRUMADA DE ÁGUA - FORNECIMENTO E INSTALAÇÃO. AF_12/2014_P</t>
  </si>
  <si>
    <t>JOELHO OU CURVA PVC ROSC. D=2" (60mm)</t>
  </si>
  <si>
    <t xml:space="preserve"> 74181/001 </t>
  </si>
  <si>
    <t>REGISTRO GAVETA 2" BRUTO LATAO - FORNECIMENTO E INSTALACAO</t>
  </si>
  <si>
    <t xml:space="preserve"> 1.2.18 </t>
  </si>
  <si>
    <t>BUCHA DE REDUCAO DE PVC, SOLDAVEL, COM 75 X 60 MM, PARA AGUA FRIA PREDIAL</t>
  </si>
  <si>
    <t>CURVA EM COBRE, 45 GRAUS, SEM ANEL DE SOLDA, BOLSA X BOLSA, DN 22 MM, INSTALADO EM RAMAL E SUB-RAMAL   FORNECIMENTO E INSTALAÇÃO. AF_01/2016_P</t>
  </si>
  <si>
    <t>TE DE REDUÇÃO DE COBRE, 28X22MM, FORNECIMENTO E INSTALAÇÃO</t>
  </si>
  <si>
    <t xml:space="preserve"> 1.5.1 </t>
  </si>
  <si>
    <t xml:space="preserve"> C2311 </t>
  </si>
  <si>
    <t>TANQUE DE AÇO INOXIDÁVEL</t>
  </si>
  <si>
    <t xml:space="preserve"> 1.5.14 </t>
  </si>
  <si>
    <t xml:space="preserve"> C0091 </t>
  </si>
  <si>
    <t>APARELHO MISTURADOR P/PIA TIPO MESA</t>
  </si>
  <si>
    <t>INSTALAÇÕES HIDRÁULICAS - ÁREA 04 e 05 TÉRREO</t>
  </si>
  <si>
    <t>INSTALAÇÕES HIDRÁULICAS - ÁREA 06 e 07 TÉRREO</t>
  </si>
  <si>
    <t>LUVA PVC SOLD. AZUL C/ROSCA MET. D=25mmX3/4"</t>
  </si>
  <si>
    <t xml:space="preserve"> 74234/001 </t>
  </si>
  <si>
    <t>MICTORIO SIFONADO DE LOUCA BRANCA COM PERTENCES, COM REGISTRO DE PRESSAO 1/2" COM CANOPLA CROMADA ACABAMENTO SIMPLES E CONJUNTO PARA FIXACAO  - FORNECIMENTO E INSTALACAO</t>
  </si>
  <si>
    <t>INSTALAÇÕES HIDRÁULICAS - ÁREA 08 E 09 -  TÉRREO</t>
  </si>
  <si>
    <t xml:space="preserve"> 1.1.2</t>
  </si>
  <si>
    <t xml:space="preserve"> 1.1.3</t>
  </si>
  <si>
    <t xml:space="preserve"> 1.1.4</t>
  </si>
  <si>
    <t xml:space="preserve"> 1.2.2</t>
  </si>
  <si>
    <t xml:space="preserve"> 1.2.3</t>
  </si>
  <si>
    <t xml:space="preserve"> 1.2.4</t>
  </si>
  <si>
    <t xml:space="preserve"> 1.2.5</t>
  </si>
  <si>
    <t xml:space="preserve"> 1.2.6</t>
  </si>
  <si>
    <t xml:space="preserve"> 1.2.7</t>
  </si>
  <si>
    <t xml:space="preserve"> 1.2.8</t>
  </si>
  <si>
    <t xml:space="preserve"> 1.2.9</t>
  </si>
  <si>
    <t xml:space="preserve"> 1.2.10</t>
  </si>
  <si>
    <t xml:space="preserve"> 1.2.11</t>
  </si>
  <si>
    <t xml:space="preserve"> 1.2.12</t>
  </si>
  <si>
    <t xml:space="preserve"> 1.2.13</t>
  </si>
  <si>
    <t xml:space="preserve"> 1.3.1.1</t>
  </si>
  <si>
    <t xml:space="preserve"> 1.3.1.2</t>
  </si>
  <si>
    <t xml:space="preserve"> 1.3.1.3</t>
  </si>
  <si>
    <t xml:space="preserve"> 1.3.1.4</t>
  </si>
  <si>
    <t xml:space="preserve"> 1.3.2.1</t>
  </si>
  <si>
    <t xml:space="preserve"> 1.3.2.2</t>
  </si>
  <si>
    <t xml:space="preserve"> 1.3.2.3</t>
  </si>
  <si>
    <t xml:space="preserve"> 1.3.2.4</t>
  </si>
  <si>
    <t xml:space="preserve"> 1.4.1</t>
  </si>
  <si>
    <t xml:space="preserve"> 1.4.2</t>
  </si>
  <si>
    <t xml:space="preserve"> 1.4.3</t>
  </si>
  <si>
    <t xml:space="preserve"> 1.4.4</t>
  </si>
  <si>
    <t xml:space="preserve"> 1.4.5</t>
  </si>
  <si>
    <t xml:space="preserve"> 1.4.6</t>
  </si>
  <si>
    <t xml:space="preserve"> 1.5.1</t>
  </si>
  <si>
    <t xml:space="preserve"> 1.5.2</t>
  </si>
  <si>
    <t xml:space="preserve"> 1.5.3</t>
  </si>
  <si>
    <t xml:space="preserve"> 1.5.4</t>
  </si>
  <si>
    <t xml:space="preserve"> 1.5.5</t>
  </si>
  <si>
    <t xml:space="preserve"> 1.5.6</t>
  </si>
  <si>
    <t xml:space="preserve"> 1.5.7</t>
  </si>
  <si>
    <t xml:space="preserve"> 1.5.8</t>
  </si>
  <si>
    <t xml:space="preserve"> 1.5.9</t>
  </si>
  <si>
    <t xml:space="preserve"> 1.5.10</t>
  </si>
  <si>
    <t xml:space="preserve"> 1.5.11</t>
  </si>
  <si>
    <t xml:space="preserve"> 1.5.12</t>
  </si>
  <si>
    <t>INSTALAÇÕES HIDRÁULICAS - BLOCOS DE APOIO - TÉRREO</t>
  </si>
  <si>
    <t>Próprio</t>
  </si>
  <si>
    <t xml:space="preserve"> 1.2.14</t>
  </si>
  <si>
    <t xml:space="preserve"> 1.2.15</t>
  </si>
  <si>
    <t xml:space="preserve"> 1.2.16</t>
  </si>
  <si>
    <t>REGISTRO DE GAVETA C/CANOPLA CROMADA D= 40mm (1 1/2")</t>
  </si>
  <si>
    <t>TÊ COBRE OU BRONZE D= 42mm (1 1/2")</t>
  </si>
  <si>
    <t>TORNEIRA DE PRESSÃO P/JARDIM DE 3/4"</t>
  </si>
  <si>
    <t xml:space="preserve"> 1.6 </t>
  </si>
  <si>
    <t>SISTEMA DE CAPTAÇÃO E RECALQUE</t>
  </si>
  <si>
    <t xml:space="preserve"> 1.6.1 </t>
  </si>
  <si>
    <t>REDE DE CAPTAÇÃO</t>
  </si>
  <si>
    <t xml:space="preserve"> 1.6.1.1 </t>
  </si>
  <si>
    <t>CAIXA PARA HIDROMETRO CONCRETO PRE-MOLDADO - FORNECIMENTO E INSTALACAO</t>
  </si>
  <si>
    <t xml:space="preserve"> 1.6.1.2 </t>
  </si>
  <si>
    <t>SUBSTITUIÇÃO OU INSTALAÇÃO DE HIDRÔMETRO EM CAVALETE MONTADO (CASO E,N)</t>
  </si>
  <si>
    <t xml:space="preserve"> 1.6.1.3 </t>
  </si>
  <si>
    <t xml:space="preserve"> 1.6.1.4 </t>
  </si>
  <si>
    <t>REGISTRO GAVETA BRUTO EM LATAO FORJADO, BITOLA 1 1/2 " (REF 1509)</t>
  </si>
  <si>
    <t xml:space="preserve"> 1.6.1.5 </t>
  </si>
  <si>
    <t>JOELHO PVC SOLD 90G P/AGUA FRIA PREDIAL 50 MM</t>
  </si>
  <si>
    <t xml:space="preserve"> 1.6.1.6 </t>
  </si>
  <si>
    <t>(COMPOSIÇÃO REPRESENTATIVA) DO SERVIÇO DE INSTALAÇÃO DE TUBOS DE PVC, SOLDÁVEL, ÁGUA FRIA, DN 50 MM (INSTALADO EM PRUMADA), INCLUSIVE CONEXÕES, CORTES E FIXAÇÕES, PARA PRÉDIOS. AF_10/2015_P</t>
  </si>
  <si>
    <t xml:space="preserve"> 1.6.1.7 </t>
  </si>
  <si>
    <t>TORNEIRA DE BOIA REAL 1.1/2" C/ BALAO PLASTICO</t>
  </si>
  <si>
    <t xml:space="preserve"> 1.6.2 </t>
  </si>
  <si>
    <t>REDE DE SUCÇÃO</t>
  </si>
  <si>
    <t xml:space="preserve"> 1.6.2.1 </t>
  </si>
  <si>
    <t>VÁLVULA DE PÉ COM CRIVO Ø 80MM (3") - FORNECIMENTO E INSTALAÇÃO</t>
  </si>
  <si>
    <t xml:space="preserve"> 1.6.2.2</t>
  </si>
  <si>
    <t>TUBO AÇO GALVANIZADO DE 100MM (4</t>
  </si>
  <si>
    <t xml:space="preserve"> 1.6.2.3</t>
  </si>
  <si>
    <t>ASSENTAMENTO SIMPLES DE TUBOS DE FERRO FUNDIDO (FOFO) C/ JUNTA ELASTICA - DN 100 - INCLUSIVE TRANSPORTE</t>
  </si>
  <si>
    <t xml:space="preserve"> 1.6.2.4</t>
  </si>
  <si>
    <t>BUCHA DE REDUCAO DE FERRO GALVANIZADO, COM ROSCA BSP, DE 4" X 3"</t>
  </si>
  <si>
    <t xml:space="preserve"> 1.6.2.5</t>
  </si>
  <si>
    <t>COTOVELO 90 GRAUS DE FERRO GALVANIZADO, COM ROSCA BSP, DE 4"</t>
  </si>
  <si>
    <t xml:space="preserve"> 1.6.2.6</t>
  </si>
  <si>
    <t>TE FERRO GALVANIZADO 90G 4"</t>
  </si>
  <si>
    <t xml:space="preserve"> 1.6.2.7</t>
  </si>
  <si>
    <t>REGISTRO GAVETA BRUTO EM LATAO FORJADO, BITOLA 4 " (REF 1509)</t>
  </si>
  <si>
    <t xml:space="preserve"> 1.6.2.8</t>
  </si>
  <si>
    <t>UNIAO DE FERRO GALVANIZADO, COM ROSCA BSP, COM ASSENTO PLANO, DE 4"</t>
  </si>
  <si>
    <t xml:space="preserve"> 1.6.2.9</t>
  </si>
  <si>
    <t>MONTAGEM DAS INSTALAÇÕES HIDRO-SANITÁRIAS DAS ELEVATÓRIAS</t>
  </si>
  <si>
    <t xml:space="preserve"> 1.6.3 </t>
  </si>
  <si>
    <t>REDE DE RECALQUE</t>
  </si>
  <si>
    <t xml:space="preserve"> 1.6.3.1 </t>
  </si>
  <si>
    <t>BUCHA DE REDUCAO DE FERRO GALVANIZADO, COM ROSCA BSP, DE 3" X 2"</t>
  </si>
  <si>
    <t xml:space="preserve"> 1.6.3.2</t>
  </si>
  <si>
    <t>UNIAO DE FERRO GALVANIZADO, COM ROSCA BSP, COM ASSENTO PLANO, DE 3"</t>
  </si>
  <si>
    <t xml:space="preserve"> 1.6.3.3</t>
  </si>
  <si>
    <t>VALVULA DE RETENCAO DE BRONZE, PE COM CRIVOS, EXTREMIDADE COM ROSCA, DE 3", PARA FUNDO DE POCO</t>
  </si>
  <si>
    <t xml:space="preserve"> 1.6.3.4</t>
  </si>
  <si>
    <t>REGISTRO GAVETA BRUTO EM LATAO FORJADO, BITOLA 3 " (REF 1509)</t>
  </si>
  <si>
    <t xml:space="preserve"> 1.6.3.5</t>
  </si>
  <si>
    <t>TE FERRO GALVANIZADO 90G 3"</t>
  </si>
  <si>
    <t xml:space="preserve"> 1.6.3.6</t>
  </si>
  <si>
    <t>COTOVELO 90 GRAUS DE FERRO GALVANIZADO, COM ROSCA BSP MACHO/FEMEA, DE 3"</t>
  </si>
  <si>
    <t xml:space="preserve"> 1.6.3.7</t>
  </si>
  <si>
    <t>TUBO AÇO GALVANIZADO DE 80MM (3')</t>
  </si>
  <si>
    <t xml:space="preserve"> 1.6.3.8</t>
  </si>
  <si>
    <t>MONTAGEM DE TUBOS, CONEXÕES E PÇS, ELEVATÓRIA</t>
  </si>
  <si>
    <t xml:space="preserve"> 1.6.4 </t>
  </si>
  <si>
    <t>BOMBAS DE RECALQUE</t>
  </si>
  <si>
    <t xml:space="preserve"> 1.6.4.1 </t>
  </si>
  <si>
    <t>BOMBA RECALQUE D'AGUA TRIFASICA 10,0 HP</t>
  </si>
  <si>
    <t xml:space="preserve"> 1.6.4.2</t>
  </si>
  <si>
    <t>QUADRO DE COMANDO DE BOMBAS - COMPLETO</t>
  </si>
  <si>
    <t xml:space="preserve"> 1.6.4.3</t>
  </si>
  <si>
    <t>CHAVE REVERSORA - FORNECIMENTO E INSTAÇÃO</t>
  </si>
  <si>
    <t>INSTALAÇÕES - COBERTURA</t>
  </si>
  <si>
    <t>INSTALAÇÕES HIDRÁULICAS - BARRILETE</t>
  </si>
  <si>
    <t>TUBO COBRE D= 79mm (3") CLASSE E</t>
  </si>
  <si>
    <t>TUBO PVC, ROSCAVEL,  2 1/2", AGUA FRIA PREDIAL</t>
  </si>
  <si>
    <t>BUCHA DE REDUCAO DE FERRO GALVANIZADO, COM ROSCA BSP, DE 4" X 2 1/2"</t>
  </si>
  <si>
    <t xml:space="preserve"> 1.1.7 </t>
  </si>
  <si>
    <t xml:space="preserve"> 1.1.8 </t>
  </si>
  <si>
    <t>REGISTRO GAVETA BRUTO EM LATAO FORJADO, BITOLA 2 " (REF 1509)</t>
  </si>
  <si>
    <t xml:space="preserve"> 1.1.9 </t>
  </si>
  <si>
    <t>REGISTRO GAVETA BRUTO EM LATAO FORJADO, BITOLA 2 1/2 " (REF 1509)</t>
  </si>
  <si>
    <t xml:space="preserve"> 1.1.10 </t>
  </si>
  <si>
    <t xml:space="preserve"> 1.1.11 </t>
  </si>
  <si>
    <t>COTOVELO DE COBRE 90 GRAUS (REF 607) SEM ANEL DE SOLDA, BOLSA X BOLSA, 79 MM</t>
  </si>
  <si>
    <t xml:space="preserve"> 1.1.12 </t>
  </si>
  <si>
    <t xml:space="preserve"> 1.1.13 </t>
  </si>
  <si>
    <t>BUCHA REDUÇÃO FERRO FUNDIDO 100X75MM</t>
  </si>
  <si>
    <t xml:space="preserve"> 1.1.14 </t>
  </si>
  <si>
    <t>VALVULA DE RETENCAO VERTICAL, DE BRONZE (PN-16), 4", 200 PSI, EXTREMIDADES COM ROSCA</t>
  </si>
  <si>
    <t xml:space="preserve"> 1.1.15 </t>
  </si>
  <si>
    <t xml:space="preserve"> 1.1.20 </t>
  </si>
  <si>
    <t>MONTAGEM BARRILETE FILTRO FIBRA, KIT</t>
  </si>
  <si>
    <t>INSTALAÇÕES HIDRAULICAS - EQUIPAMENTOS DIVERSOS</t>
  </si>
  <si>
    <t>INSTALAÇÕES HIDRÁULICAS -1º PAVIMENTO</t>
  </si>
  <si>
    <t>BUCHA REDUÇÃO PVC ROSC. D=2 1/2"X1 1/2" (75X50mm)</t>
  </si>
  <si>
    <t>JOELHO 90 GRAUS, PVC, SOLDÁVEL, DN 75MM, INSTALADO EM PRUMADA DE ÁGUA - FORNECIMENTO E INSTALAÇÃO. AF_12/2014_P</t>
  </si>
  <si>
    <t>INSTALAÇÕES HIDRÁULICAS - 2º PAVIMENTO</t>
  </si>
  <si>
    <t>BUCHA DE PVC, 75X60MM, FORNECIMENTO E INSTALAÇÃO</t>
  </si>
  <si>
    <t>BUCHA DE PVC, 110X75MM, FORNECIMENTO E INSTALAÇÃO</t>
  </si>
  <si>
    <t>JOELHO OU CURVA PVC ROSC. D=4</t>
  </si>
  <si>
    <t>TÊ PVC SOLD. MARROM D= 50mm (1 1/2</t>
  </si>
  <si>
    <t>TÊ PVC SOLD. MARROM D= 60mm (2</t>
  </si>
  <si>
    <t>TÊ DE REDUÇÃO, PVC, SOLDÁVEL, DN 110MM X 75MM - FORNECIMENTO E INSTALAÇÃO</t>
  </si>
  <si>
    <t>TÊ DE REDUÇÃO, PVC, SOLDÁVEL, DN 75MM X 60MM - FORNECIMENTO E INSTALAÇÃO</t>
  </si>
  <si>
    <t>TÊ DE REDUÇÃO, PVC, SOLDÁVEL, DN 75MM X 50MM - FORNECIMENTO E INSTALAÇÃO</t>
  </si>
  <si>
    <t>TUBO COBRE D= 28mm (1</t>
  </si>
  <si>
    <t>TUBO COBRE D= 54mm (2") CLASSE E</t>
  </si>
  <si>
    <t>BUCHA DE REDUÇÃO DE COBRE, 54mm x 28mm, FORNECIMENTO E INSTALAÇÃO</t>
  </si>
  <si>
    <t>BUCHA DE REDUÇÃO DE COBRE, 42mm x 28mm, FORNECIMENTO E INSTALAÇÃO</t>
  </si>
  <si>
    <t>BUCHA DE REDUÇÃO DE COBRE, 79mm x 54mm, FORNECIMENTO E INSTALAÇÃO</t>
  </si>
  <si>
    <t xml:space="preserve"> 72320 </t>
  </si>
  <si>
    <t>COTOVELO DE COBRE 79MM, LIGAÇÃO SOLDADA - FORNECIMENTO E INSTALAÇÃO</t>
  </si>
  <si>
    <t>TÊ COBRE OU BRONZE D= 22mm (3/4</t>
  </si>
  <si>
    <t>CONJUNTO DE REDUÇÃO COM TE/BUCHA DE REDUÇÃO DE COBRE, 79mm x 42mm, FORNECIMENTO E INSTALAÇÃO</t>
  </si>
  <si>
    <t>CONJUNTO DE REDUÇÃO COM TE/BUCHA DE REDUÇÃO DE COBRE, 79mm x 54mm, FORNECIMENTO E INSTALAÇÃO</t>
  </si>
  <si>
    <t>CONJUNTO DE REDUÇÃO COM TE/BUCHA DE REDUÇÃO DE COBRE, 54mm x 28mm, FORNECIMENTO E INSTALAÇÃO</t>
  </si>
  <si>
    <t>CONJUNTO DE REDUÇÃO COM TE/BUCHA DE REDUÇÃO DE COBRE, 42mm x 28mm, FORNECIMENTO E INSTALAÇÃO</t>
  </si>
  <si>
    <t>CURVA EM COBRE, 45 GRAUS, SEM ANEL DE SOLDA, BOLSA X BOLSA, DN 28 MM, INSTALADO EM RAMAL E SUB-RAMAL   FORNECIMENTO E INSTALAÇÃO. AF_01/2016_P</t>
  </si>
  <si>
    <t xml:space="preserve"> 1.4.21 </t>
  </si>
  <si>
    <t>REGISTRO DE GAVETA BRUTO, LATÃO, ROSCÁVEL, 3/4</t>
  </si>
  <si>
    <t>Total sem BDI</t>
  </si>
  <si>
    <t>Total do BDI</t>
  </si>
  <si>
    <t>R$ 55.203,86</t>
  </si>
  <si>
    <t>Total Geral</t>
  </si>
  <si>
    <t>RESUMO</t>
  </si>
  <si>
    <t>Serviços</t>
  </si>
  <si>
    <t>Valor</t>
  </si>
  <si>
    <t>TUBULAÇÃO (AF NBR 5648)</t>
  </si>
  <si>
    <t>CONEXÕES (AF NBR 5648)</t>
  </si>
  <si>
    <t>TUBULAÇÃO (AQ NBR 5648)</t>
  </si>
  <si>
    <t>ÁREA 01 - TÉRREO</t>
  </si>
  <si>
    <t xml:space="preserve"> 2 </t>
  </si>
  <si>
    <t>INSTALAÇÕES SANITÁRIAS - ÁREA 01 TÉRREO</t>
  </si>
  <si>
    <t xml:space="preserve"> 2.1 </t>
  </si>
  <si>
    <t>INSTALAÇÕES SANITÁRIAS - TUBULAÇÃO</t>
  </si>
  <si>
    <t xml:space="preserve"> 2.1.1 </t>
  </si>
  <si>
    <t>SERVIÇO DE INSTALAÇÃO DE TUBO DE PVC, SÉRIE NORMAL, ESGOTO PREDIAL, DN 40 MM (INSTALADO EM RAMAL DE DESCARGA OU RAMAL DE ESGOTO SANITÁRIO), INCLUSIVE CONEXÕES, CORTES E FIXAÇÕES, PARA PRÉDIOS. AF_10/2015_P</t>
  </si>
  <si>
    <t xml:space="preserve"> 2.1.2 </t>
  </si>
  <si>
    <t>SERVIÇO DE INSTALAÇÃO DE TUBO DE PVC, SÉRIE NORMAL, ESGOTO PREDIAL, DN 50 MM (INSTALADO EM RAMAL DE DESCARGA OU RAMAL DE ESGOTO SANITÁRIO), INCLUSIVE CONEXÕES, CORTES E FIXAÇÕES PARA, PRÉDIOS. AF_10/2015_P</t>
  </si>
  <si>
    <t xml:space="preserve"> 2.1.3 </t>
  </si>
  <si>
    <t>SERVIÇO DE INST. TUBO PVC, SÉRIE N, ESGOTO PREDIAL, DN 75 MM, (INST. EM RAMAL DE DESCARGA, RAMAL DE ESG. SANITÁRIO, PRUMADA DE ESG. SANITÁRIO OU VENTILAÇÃO), INCL. CONEXÕES, CORTES E FIXAÇÕES, P/ PRÉDIOS. AF_10/2015_P</t>
  </si>
  <si>
    <t xml:space="preserve"> 2.1.4 </t>
  </si>
  <si>
    <t>SERVIÇO DE INST. TUBO PVC, SÉRIE N, ESGOTO PREDIAL, 100 MM (INST. RAMAL DESCARGA, RAMAL DE ESG. SANIT., PRUMADA ESG. SANIT., VENTILAÇÃO OU SUB-COLETOR AÉREO), INCL. CONEXÕES E CORTES, FIXAÇÕES, P/ PRÉDIOS. AF_10/2015_P</t>
  </si>
  <si>
    <t xml:space="preserve"> 2.1.5 </t>
  </si>
  <si>
    <t>SERVIÇO DE INSTALAÇÃO DE TUBO DE PVC, SÉRIE NORMAL, ESGOTO PREDIAL, DN 150 MM (INSTALADO EM SUB-COLETOR AÉREO), INCLUSIVE CONEXÕES, CORTES E FIXAÇÕES, PARA PRÉDIOS. AF_10/2015_P</t>
  </si>
  <si>
    <t xml:space="preserve"> 2.1.6 </t>
  </si>
  <si>
    <t>TUBO PVC ROSC. BRANCO D= 1 1/4" (40mm)</t>
  </si>
  <si>
    <t xml:space="preserve"> 2.2 </t>
  </si>
  <si>
    <t>INSTALAÇÕES SANITÁRIAS - CAIXAS INSPEÇÃO/GORDURA/SABÃO</t>
  </si>
  <si>
    <t xml:space="preserve"> 2.2.1 </t>
  </si>
  <si>
    <t>CAIXAS DE INSPEÇÃO</t>
  </si>
  <si>
    <t xml:space="preserve"> 2.2.1.1 </t>
  </si>
  <si>
    <t>CAIXA DE INSPEÇÃO 80X80X80CM EM ALVENARIA - EXECUÇÃO</t>
  </si>
  <si>
    <t xml:space="preserve"> 2.2.1.2 </t>
  </si>
  <si>
    <t>CAIXA DE INSPEÇÃO EM ALVENARIA - 1 TIJOLO COMUM</t>
  </si>
  <si>
    <t xml:space="preserve"> 2.2.2 </t>
  </si>
  <si>
    <t>CAIXAS DE GORDURA</t>
  </si>
  <si>
    <t xml:space="preserve"> 2.2.2.1 </t>
  </si>
  <si>
    <t>CAIXA DE GORDURA/SABÃO EM ALVENARIA</t>
  </si>
  <si>
    <t xml:space="preserve"> 2.2.3 </t>
  </si>
  <si>
    <t>CAIXAS DE SABÃO</t>
  </si>
  <si>
    <t xml:space="preserve"> 2.2.3.1 </t>
  </si>
  <si>
    <t xml:space="preserve"> 2.3 </t>
  </si>
  <si>
    <t>INSTALAÇÕES SANITÁRIAS - PEÇAS E CONEXÕES</t>
  </si>
  <si>
    <t xml:space="preserve"> 2.3.1 </t>
  </si>
  <si>
    <t>JOELHO 45 GRAUS, PVC, SOLDÁVEL, DN 32MM, INSTALADO EM PRUMADA DE ÁGUA - FORNECIMENTO E INSTALAÇÃO. AF_12/2014_P</t>
  </si>
  <si>
    <t xml:space="preserve"> 2.3.2 </t>
  </si>
  <si>
    <t>JOELHO 45 GRAUS, PVC, SERIE NORMAL, ESGOTO PREDIAL, DN 40 MM, JUNTA SOLDÁVEL, FORNECIDO E INSTALADO EM RAMAL DE DESCARGA OU RAMAL DE ESGOTO SANITÁRIO. AF_12/2014_P</t>
  </si>
  <si>
    <t xml:space="preserve"> 2.3.3 </t>
  </si>
  <si>
    <t>JOELHO 45 GRAUS, PVC, SERIE NORMAL, ESGOTO PREDIAL, DN 75 MM, JUNTA ELÁSTICA, FORNECIDO E INSTALADO EM RAMAL DE DESCARGA OU RAMAL DE ESGOTO SANITÁRIO. AF_12/2014</t>
  </si>
  <si>
    <t xml:space="preserve"> 2.3.4 </t>
  </si>
  <si>
    <t>JOELHO 45 GRAUS, PVC, SERIE NORMAL, ESGOTO PREDIAL, DN 50 MM, JUNTA ELÁSTICA, FORNECIDO E INSTALADO EM RAMAL DE DESCARGA OU RAMAL DE ESGOTO SANITÁRIO. AF_12/2014</t>
  </si>
  <si>
    <t xml:space="preserve"> 2.3.5 </t>
  </si>
  <si>
    <t>JOELHO 45 GRAUS, PVC, SERIE NORMAL, ESGOTO PREDIAL, DN 100 MM, JUNTA ELÁSTICA, FORNECIDO E INSTALADO EM RAMAL DE DESCARGA OU RAMAL DE ESGOTO SANITÁRIO. AF_12/2014</t>
  </si>
  <si>
    <t xml:space="preserve"> 2.3.6 </t>
  </si>
  <si>
    <t>JOELHO 90 GRAUS, PVC, SERIE NORMAL, ESGOTO PREDIAL, DN 40 MM, JUNTA SOLDÁVEL, FORNECIDO E INSTALADO EM RAMAL DE DESCARGA OU RAMAL DE ESGOTO SANITÁRIO. AF_12/2014_P</t>
  </si>
  <si>
    <t xml:space="preserve"> 2.3.7 </t>
  </si>
  <si>
    <t>JOELHO OU CURVA PVC ROSC. D=1 1/4" (40mm)</t>
  </si>
  <si>
    <t xml:space="preserve"> 2.3.8 </t>
  </si>
  <si>
    <t>ADAPTADOR CURTO COM BOLSA E ROSCA PARA REGISTRO, PVC, SOLDÁVEL, DN 40MM X 1.1/4", INSTALADO EM PRUMADA DE ÁGUA - FORNECIMENTO E INSTALAÇÃO. AF_12/2014_P</t>
  </si>
  <si>
    <t xml:space="preserve"> 2.3.9 </t>
  </si>
  <si>
    <t>JOELHO 90 GRAUS, PVC, SERIE NORMAL, ESGOTO PREDIAL, DN 50 MM, JUNTA ELÁSTICA, FORNECIDO E INSTALADO EM RAMAL DE DESCARGA OU RAMAL DE ESGOTO SANITÁRIO. AF_12/2014</t>
  </si>
  <si>
    <t xml:space="preserve"> 2.3.10 </t>
  </si>
  <si>
    <t>JOELHO 90 GRAUS, PVC, SERIE NORMAL, ESGOTO PREDIAL, DN 100 MM, JUNTA ELÁSTICA, FORNECIDO E INSTALADO EM RAMAL DE DESCARGA OU RAMAL DE ESGOTO SANITÁRIO. AF_12/2014</t>
  </si>
  <si>
    <t xml:space="preserve"> 2.3.11 </t>
  </si>
  <si>
    <t>JOELHO 90 GRAUS, PVC, SERIE NORMAL, ESGOTO PREDIAL, DN 75 MM, JUNTA ELÁSTICA, FORNECIDO E INSTALADO EM RAMAL DE DESCARGA OU RAMAL DE ESGOTO SANITÁRIO. AF_12/2014</t>
  </si>
  <si>
    <t xml:space="preserve"> 2.3.12 </t>
  </si>
  <si>
    <t>JOELHO OU CURVA PVC ROSC. D=1 1/2" (50mm)</t>
  </si>
  <si>
    <t xml:space="preserve"> 2.3.13 </t>
  </si>
  <si>
    <t>JOELHO OU CURVA PVC ROSC. D=2 1/2" (75mm)</t>
  </si>
  <si>
    <t xml:space="preserve"> 2.3.14 </t>
  </si>
  <si>
    <t>JOELHO OU CURVA PVC ROSC. D=4" (110mm)</t>
  </si>
  <si>
    <t xml:space="preserve"> 2.3.15 </t>
  </si>
  <si>
    <t>JUNÇÃO SIMPLES, PVC, SERIE NORMAL, ESGOTO PREDIAL, DN 100 X 100 MM, JUNTA ELÁSTICA, FORNECIDO E INSTALADO EM RAMAL DE DESCARGA OU RAMAL DE ESGOTO SANITÁRIO. AF_12/2014</t>
  </si>
  <si>
    <t xml:space="preserve"> 2.3.16 </t>
  </si>
  <si>
    <t>JUNÇÃO SIMPLES, PVC, SERIE R, ÁGUA PLUVIAL, DN 100 X 75 MM, JUNTA ELÁSTICA, FORNECIDO E INSTALADO EM RAMAL DE ENCAMINHAMENTO. AF_12/2014</t>
  </si>
  <si>
    <t xml:space="preserve"> 2.3.17 </t>
  </si>
  <si>
    <t>JUNÇÃO SIMPLES DE REDUÇÃO PVC P/ESGOTO 100X50mm(4"X2")</t>
  </si>
  <si>
    <t xml:space="preserve"> 2.3.18 </t>
  </si>
  <si>
    <t>JUNÇÃO SIMPLES, PVC, SERIE NORMAL, ESGOTO PREDIAL, DN 75 X 75 MM, JUNTA ELÁSTICA, FORNECIDO E INSTALADO EM RAMAL DE DESCARGA OU RAMAL DE ESGOTO SANITÁRIO. AF_12/2014</t>
  </si>
  <si>
    <t xml:space="preserve"> 2.3.19 </t>
  </si>
  <si>
    <t>JUNÇÃO SIMPLES DE REDUÇÃO PVC P/ESGOTO 75X50mm (3"X2")</t>
  </si>
  <si>
    <t xml:space="preserve"> 2.3.20 </t>
  </si>
  <si>
    <t>JUNÇÃO SIMPLES, PVC, SERIE NORMAL, ESGOTO PREDIAL, DN 50 X 50 MM, JUNTA ELÁSTICA, FORNECIDO E INSTALADO EM RAMAL DE DESCARGA OU RAMAL DE ESGOTO SANITÁRIO. AF_12/2014</t>
  </si>
  <si>
    <t xml:space="preserve"> 2.3.21 </t>
  </si>
  <si>
    <t>TÊ PVC BRANCO C/REDUÇÃO P/ESGOTO D=100X50mm (4"X2")</t>
  </si>
  <si>
    <t xml:space="preserve"> 2.3.22 </t>
  </si>
  <si>
    <t>TÊ PVC BRANCO C/REDUÇÃO P/ESGOTO D=100X75mm (4"X3")</t>
  </si>
  <si>
    <t xml:space="preserve"> 2.3.23 </t>
  </si>
  <si>
    <t>TÊ PVC BRANCO P/ESGOTO D=75mm (3")-JUNTAS SOLD.</t>
  </si>
  <si>
    <t xml:space="preserve"> 2.3.24 </t>
  </si>
  <si>
    <t>TÊ PVC BRANCO P/ESGOTO D=75X50mm (3"X2")-JUNTAS C/ANÉIS</t>
  </si>
  <si>
    <t xml:space="preserve"> 2.3.25 </t>
  </si>
  <si>
    <t>TÊ PVC BRANCO P/ESGOTO D=50MM (2</t>
  </si>
  <si>
    <t xml:space="preserve"> 2.3.26 </t>
  </si>
  <si>
    <t>RALO SIFONADO, PVC, DN 100 X 40 MM, JUNTA SOLDÁVEL, FORNECIDO E INSTALADO EM RAMAL DE DESCARGA OU EM RAMAL DE ESGOTO SANITÁRIO. AF_12/2014_P</t>
  </si>
  <si>
    <t xml:space="preserve"> 2.3.27 </t>
  </si>
  <si>
    <t>REDUÇÃO EXCÊNTRICA, PVC, SERIE R, ÁGUA PLUVIAL, DN 100 X 75 MM, JUNTA ELÁSTICA, FORNECIDO E INSTALADO EM RAMAL DE ENCAMINHAMENTO. AF_12/2014</t>
  </si>
  <si>
    <t xml:space="preserve"> 2.3.28 </t>
  </si>
  <si>
    <t>REDUÇÃO EXCÊNTRICA, PVC, SERIE R, ÁGUA PLUVIAL, DN 75 X 50 MM, JUNTA ELÁSTICA, FORNECIDO E INSTALADO EM CONDUTORES VERTICAIS DE ÁGUAS PLUVIAIS. AF_12/2014</t>
  </si>
  <si>
    <t xml:space="preserve"> 2.3.29 </t>
  </si>
  <si>
    <t>REDUÇÃO EXCÊNTRICA, PVC, SERIE R, ÁGUA PLUVIAL, DN 100 X 50 MM, JUNTA ELÁSTICA, FORNECIDO E INSTALADO</t>
  </si>
  <si>
    <t xml:space="preserve"> 2.3.30 </t>
  </si>
  <si>
    <t xml:space="preserve"> 2.3.31 </t>
  </si>
  <si>
    <t>INSTALAÇÕES SANITÁRIAS- ÁREA 02 e 03 TÉRREO</t>
  </si>
  <si>
    <t>INSTALAÇÕES SANITÁRIAS - ÁREAS 04 e 05 - TÉRREO</t>
  </si>
  <si>
    <t>TÊ PVC BRANCO P/ESGOTO D=50MM (2')-JUNTAS SOLD.</t>
  </si>
  <si>
    <t>INSTALAÇÕES SANITARIAS - ÁREAS 06 e 07 - TÉRREO</t>
  </si>
  <si>
    <t>INSTALAÇÕES SANITÁRIAS - CAIXAS DE INSPEÇÃO/GORDURA/SABÃO</t>
  </si>
  <si>
    <t>INSTALAÇÕES SANITÁRIAS - ÁREAS 08 e 09 - TÉRREO</t>
  </si>
  <si>
    <t xml:space="preserve"> 2.1.2</t>
  </si>
  <si>
    <t xml:space="preserve"> 2.1.3</t>
  </si>
  <si>
    <t xml:space="preserve"> 2.1.4</t>
  </si>
  <si>
    <t>CAIXAS DE SQBÃO</t>
  </si>
  <si>
    <t>INSTALAÇÕES SANIRTÁRIAS - PEÇAS E CONEXÕES</t>
  </si>
  <si>
    <t>TÊ PVC SOLD./ROSCA AZUL D=25mmX25mmX3/4'</t>
  </si>
  <si>
    <t>INSTALAÇÕES SANITÁRIAS - BLOCOS DE APOIO - TÉRREO</t>
  </si>
  <si>
    <t>INSTALAÇÕES  SANITÁRIAS - TUBULAÇÃO</t>
  </si>
  <si>
    <t>INSTALAÇÕES SANITÁRIAS - CAIXA DE INSPEÇÃO/GORDURA/SABÃO</t>
  </si>
  <si>
    <t xml:space="preserve"> 2.3.2</t>
  </si>
  <si>
    <t xml:space="preserve"> 2.3.3</t>
  </si>
  <si>
    <t xml:space="preserve"> 2.3.4</t>
  </si>
  <si>
    <t xml:space="preserve"> 2.3.5</t>
  </si>
  <si>
    <t xml:space="preserve"> 2.3.6</t>
  </si>
  <si>
    <t>JOELHO 90 GRAUS, PVC, SERIE NORMAL, ESGOTO PREDIAL, DN 150 MM, JUNTA ELÁSTICA, FORNECIDO E INSTALADO EM SUBCOLETOR AÉREO DE ESGOTO SANITÁRIO. AF_12/2014</t>
  </si>
  <si>
    <t xml:space="preserve"> 2.3.7</t>
  </si>
  <si>
    <t xml:space="preserve"> 2.3.8</t>
  </si>
  <si>
    <t xml:space="preserve"> 2.3.9</t>
  </si>
  <si>
    <t xml:space="preserve"> 2.3.10</t>
  </si>
  <si>
    <t xml:space="preserve"> 2.3.11</t>
  </si>
  <si>
    <t xml:space="preserve"> 2.3.12</t>
  </si>
  <si>
    <t xml:space="preserve"> 2.3.13</t>
  </si>
  <si>
    <t>INSTALAÇÕES SANITÁRIAS - 1º PAVIMENTO</t>
  </si>
  <si>
    <t xml:space="preserve"> 2.2.4 </t>
  </si>
  <si>
    <t xml:space="preserve"> 2.2.5 </t>
  </si>
  <si>
    <t xml:space="preserve"> 2.2.6 </t>
  </si>
  <si>
    <t xml:space="preserve"> 2.2.7 </t>
  </si>
  <si>
    <t xml:space="preserve"> 2.2.8 </t>
  </si>
  <si>
    <t xml:space="preserve"> 2.2.9 </t>
  </si>
  <si>
    <t xml:space="preserve"> 2.2.10 </t>
  </si>
  <si>
    <t xml:space="preserve"> 2.2.11 </t>
  </si>
  <si>
    <t xml:space="preserve"> 2.2.12 </t>
  </si>
  <si>
    <t xml:space="preserve"> 2.2.13 </t>
  </si>
  <si>
    <t xml:space="preserve"> 2.2.14 </t>
  </si>
  <si>
    <t xml:space="preserve"> 2.2.15 </t>
  </si>
  <si>
    <t xml:space="preserve"> 2.2.16 </t>
  </si>
  <si>
    <t xml:space="preserve"> 2.2.17 </t>
  </si>
  <si>
    <t xml:space="preserve"> 2.2.18 </t>
  </si>
  <si>
    <t xml:space="preserve"> 2.2.19 </t>
  </si>
  <si>
    <t xml:space="preserve"> 2.2.20 </t>
  </si>
  <si>
    <t xml:space="preserve"> 2.2.21 </t>
  </si>
  <si>
    <t xml:space="preserve"> 2.2.22 </t>
  </si>
  <si>
    <t xml:space="preserve"> 2.2.23 </t>
  </si>
  <si>
    <t>LUVA DE CORRER, PVC, SERIE NORMAL, ESGOTO PREDIAL, DN 75 MM, JUNTA ELÁSTICA, FORNECIDO E INSTALADO EM RAMAL DE DESCARGA OU RAMAL DE ESGOTO SANITÁRIO. AF_12/2014</t>
  </si>
  <si>
    <t xml:space="preserve"> 2.2.24 </t>
  </si>
  <si>
    <t>LUVA DE CORRER, PVC, SERIE NORMAL, ESGOTO PREDIAL, DN 50 MM, JUNTA ELÁSTICA, FORNECIDO E INSTALADO EM RAMAL DE DESCARGA OU RAMAL DE ESGOTO SANITÁRIO. AF_12/2014</t>
  </si>
  <si>
    <t xml:space="preserve"> 2.2.25 </t>
  </si>
  <si>
    <t>INSTALAÇÕES SANITÁRIAS - 2º PAVIMENTO</t>
  </si>
  <si>
    <t>CAP PVC ESGOTO 100MM (TAMPÃO) - FORNECIMENTO E INSTALAÇÃO</t>
  </si>
  <si>
    <t>(composição representativa) do serviço de instalação de tubos de pvc, soldável, água fria, dn 50 mm (instalado em prumada), inclusive conexões, cortes e fixações, para prédios. Af_10/2015_p</t>
  </si>
  <si>
    <t>Custo Unitário</t>
  </si>
  <si>
    <t>Custo Total</t>
  </si>
  <si>
    <t>Pessoal - Administração Local</t>
  </si>
  <si>
    <t>Consumos da Obra</t>
  </si>
  <si>
    <t>Custo Total da Administração Local da Obra</t>
  </si>
  <si>
    <t>Custo Mensal:</t>
  </si>
  <si>
    <t>Administração Local da Obra</t>
  </si>
  <si>
    <t>COMP-11</t>
  </si>
  <si>
    <t>ADMINISTRAÇÃO LOCAL DA OBRA</t>
  </si>
  <si>
    <t>UNIDADE:</t>
  </si>
  <si>
    <t>MÊS</t>
  </si>
  <si>
    <t>COMPOSIÇÃO DE CUSTO UNITÁRIO</t>
  </si>
  <si>
    <t>Ponto de tomada residencial incluindo tomada (2 módulos) 10a/250v, caixa elétrica, eletroduto, cabo, rasgo, quebra e chumbamento. Af_01/2016</t>
  </si>
  <si>
    <t>Duto perfurado - perfilado chapa de aço (38x38)mm</t>
  </si>
  <si>
    <t>1. ADMINISTRAÇÃO CENTRAL</t>
  </si>
  <si>
    <t>2. GARANTIAS, SEGUROS</t>
  </si>
  <si>
    <t>3. RISCOS</t>
  </si>
  <si>
    <t>4. DESPESAS FINANCEIRAS</t>
  </si>
  <si>
    <t>5. LUCRO</t>
  </si>
  <si>
    <t>6. TRIBUTOS</t>
  </si>
  <si>
    <t>6.1 ISSQN</t>
  </si>
  <si>
    <t>6.2 PIS</t>
  </si>
  <si>
    <t>BDI TCU - Acórdão 2622/2013</t>
  </si>
  <si>
    <t>MÍNIMO</t>
  </si>
  <si>
    <t>MÉDIO</t>
  </si>
  <si>
    <t>MÁXIMO</t>
  </si>
  <si>
    <t>Conforme legislação específica</t>
  </si>
  <si>
    <t>6.3 COFINS</t>
  </si>
  <si>
    <t xml:space="preserve">6.4 CPRB </t>
  </si>
  <si>
    <t>Armação de pilar ou viga de uma estrutura convencional de concreto armado em um edifício de múltiplos pavimentos utilizando aço ca-60 de 5.0 mm - montagem. Af_12/2015</t>
  </si>
  <si>
    <t>Armação de pilar ou viga de uma estrutura convencional de concreto armado em um edifício de múltiplos pavimentos utilizando aço ca-50 de 6.3 mm - montagem. Af_12/2015</t>
  </si>
  <si>
    <t>Armação de pilar ou viga de uma estrutura convencional de concreto armado em um edifício de múltiplos pavimentos utilizando aço ca-50 de 8.0 mm - montagem. Af_12/2015</t>
  </si>
  <si>
    <t>Contrapiso em argamassa traço 1:4 (cimento e areia), preparo manual, aplicado em áreas secas sobre laje, aderido, espessura 2cm. Af_06/2014</t>
  </si>
  <si>
    <t>Rodapé porcelanato retificado 15cm embutido na parede, com rejunte epóxi</t>
  </si>
  <si>
    <t>Manta Vinílica Anti-derrapante 2mm de espessura, impermeável, resistência a produtos químicos , resistência ao escorregamento</t>
  </si>
  <si>
    <t>Ralo fofo semiesferico, 150 mm, para lajes/ calhas</t>
  </si>
  <si>
    <t>QTE</t>
  </si>
  <si>
    <t>POTÊNCIA
KWH</t>
  </si>
  <si>
    <t>TEMPO DE UTILIZAÇÃO</t>
  </si>
  <si>
    <t>ENERGIA
(KWH)</t>
  </si>
  <si>
    <t>DIÁRIO
H</t>
  </si>
  <si>
    <t>MENSAL
(DIAS)</t>
  </si>
  <si>
    <t>PRAZO
(MÊS)</t>
  </si>
  <si>
    <t>INDUSTRIAL</t>
  </si>
  <si>
    <t>ELEVADOR DE OBRAS</t>
  </si>
  <si>
    <t>MÁQUINA DE SOLDA</t>
  </si>
  <si>
    <t>GERAL - CENTRAL CARPINTEIRA/ARMAÇÃO</t>
  </si>
  <si>
    <t>BOMBAS, BETONEIRAS</t>
  </si>
  <si>
    <t>ESCRITÓRIO</t>
  </si>
  <si>
    <t>COMPUTADOR</t>
  </si>
  <si>
    <t>AR-CONDICIONADO</t>
  </si>
  <si>
    <t>IMPRESSORAS</t>
  </si>
  <si>
    <t>LÂMPADAS</t>
  </si>
  <si>
    <t>DIVERSOS: GELADEIRA, TELEFONE, ETC</t>
  </si>
  <si>
    <t>APOIO</t>
  </si>
  <si>
    <t>TREINAMENTO</t>
  </si>
  <si>
    <t>REFEITÓRIO</t>
  </si>
  <si>
    <t>QUANTIDADE TOTAL CONSUMIDA</t>
  </si>
  <si>
    <t>CONSUMO
(L/H)</t>
  </si>
  <si>
    <t>ÁGUA
(M3)</t>
  </si>
  <si>
    <t>BETONEIRAS - CONCRETO E MASSA - 60m³/h</t>
  </si>
  <si>
    <t>ÁGUA INDUSTRIAL E CURA DE CONCRETO</t>
  </si>
  <si>
    <t>SERVIÇO</t>
  </si>
  <si>
    <t>QTE
(M3)</t>
  </si>
  <si>
    <t>CONSUMO
(L/M3)</t>
  </si>
  <si>
    <t>TERRAPLENAGEM</t>
  </si>
  <si>
    <t>QTE
(UND)</t>
  </si>
  <si>
    <t>CONSUMO
(M3/DIA)</t>
  </si>
  <si>
    <t>PESSOAS</t>
  </si>
  <si>
    <t>CÁLCULO CONSUMO DE ENERGIA DA OBRA</t>
  </si>
  <si>
    <t>CÁLCULO CONSUMO DE ÁGUA DA OBRA</t>
  </si>
  <si>
    <t>Parede de gesso acartonado - dry - wall d 95/70/60 1 st/1st 12,5mm sistemas lafarge gypsum ou similar</t>
  </si>
  <si>
    <t>Agespisa</t>
  </si>
  <si>
    <t>Lampada fluorescente 20w - fornecimento e instalacao</t>
  </si>
  <si>
    <t>Lampada fluorescente 40w - fornecimento e instalacao</t>
  </si>
  <si>
    <t>Lâmpada fluorescente compacta 15 w 2u, base e27 - fornecimento e instalação</t>
  </si>
  <si>
    <t>Ponto de iluminação residencial incluindo interruptor simples, caixa elétrica, eletroduto, cabo, rasgo, quebra e chumbamento (excluindo luminária e lâmpada).</t>
  </si>
  <si>
    <t>Ponto de iluminação residencial incluindo interruptor paralelo, caixa elétrica, eletroduto, cabo, rasgo, quebra e chumbamento (excluindo luminária e lâmpada).</t>
  </si>
  <si>
    <t>Ponto de iluminação residencial incluindo interruptor paralelo (2 módulos), caixa elétrica, eletroduto, cabo, rasgo, quebra e chumbamento (excluindo luminária e lâmpada)</t>
  </si>
  <si>
    <t>Ponto de utilização de equipamentos elétricos, residencial, incluindo suporte e placa, caixa elétrica, eletroduto, cabo, rasgo, quebra e chumbamento. Af_01/2016</t>
  </si>
  <si>
    <t>Luminaria tipo calha, de sobrepor, com reator de partida rapida e lampada fluorescente 1x20w, completa, fornecimento e instalacao</t>
  </si>
  <si>
    <t>Luminaria tipo calha, de sobrepor, com reator de partida rapida e lampada fluorescente 4x20w, completa, fornecimento e instalacao</t>
  </si>
  <si>
    <t>orse</t>
  </si>
  <si>
    <t>Painel de sobrepor auto suportável tipo armário - QGBT, dim: 1900x1000x400mm</t>
  </si>
  <si>
    <t>ORSE</t>
  </si>
  <si>
    <t>Fornecimento e instalação de eletrocalha perfurada 100 x 100 x 3000 mm (ref. mopa ou similar)</t>
  </si>
  <si>
    <t>Fornecimento e instalação de eletrocalha perfurada 100 x 50 x 3000 mm (ref. mopa ou similar</t>
  </si>
  <si>
    <t>Fornecimento e instalação de eletrocalha perfurada 300 x 100 x 3000 mm (ref. mopa ou similar</t>
  </si>
  <si>
    <t>74007/001</t>
  </si>
  <si>
    <t>Forma tabua p/ concreto em fundacao c/ reaproveitamento 10 x</t>
  </si>
  <si>
    <t>3.1.12</t>
  </si>
  <si>
    <t>Forma plana chapa compensada resinada, esp.= 10mm util. 3x.</t>
  </si>
  <si>
    <t>C2827</t>
  </si>
  <si>
    <t>Forma plana chapa compensada resinada, esp.= 10mm util. 3x. (p/ reservatório)</t>
  </si>
  <si>
    <t>4.6.11</t>
  </si>
  <si>
    <t>4.3.3</t>
  </si>
  <si>
    <t>4.2.3</t>
  </si>
  <si>
    <t>4.1.3</t>
  </si>
  <si>
    <t>Aplicação de fundo selador acrílico em paredes, uma demão. Af_06/2014</t>
  </si>
  <si>
    <t>Externo (Fachada Completa) &gt;</t>
  </si>
  <si>
    <t>Interno (Térreo e 1ª Pavimento) &gt;</t>
  </si>
  <si>
    <t>Emboço, para recebimento de cerâmica, em argamassa traço 1:2:8, preparo mecânico com betoneira 400l, aplicado manualmente em faces internas de paredes, para ambiente com área maior que 10m2, espessura de 20mm, com execução de taliscas. Af_06/2014</t>
  </si>
  <si>
    <t>Emboço ou massa única em argamassa traço 1: 2: 8, preparo mecânico com betoneira 400 l, aplicada manualmente em panos cegos de fachada, espessura de 25 mm. Af_06 /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</si>
</sst>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&quot;.&quot;00"/>
    <numFmt numFmtId="167" formatCode="0.0000"/>
    <numFmt numFmtId="168" formatCode="_-* #,##0.00000_-;\-* #,##0.00000_-;_-* &quot;-&quot;??_-;_-@_-"/>
  </numFmts>
  <fonts count="97" x14ac:knownFonts="1">
    <font>
      <sz val="12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name val="Arial Narrow"/>
      <family val="2"/>
    </font>
    <font>
      <sz val="10"/>
      <name val="Times New Roman"/>
      <family val="1"/>
    </font>
    <font>
      <b/>
      <sz val="10"/>
      <name val="Arial Narrow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8"/>
      <name val="Arial"/>
      <family val="1"/>
    </font>
    <font>
      <sz val="8"/>
      <name val="Arial"/>
      <family val="2"/>
    </font>
    <font>
      <b/>
      <sz val="18"/>
      <name val="Arial"/>
      <family val="2"/>
    </font>
    <font>
      <b/>
      <sz val="9"/>
      <name val="Arial"/>
      <family val="1"/>
    </font>
    <font>
      <b/>
      <sz val="8"/>
      <name val="Arial"/>
      <family val="1"/>
    </font>
    <font>
      <b/>
      <sz val="8"/>
      <name val="Arial"/>
      <family val="2"/>
    </font>
    <font>
      <b/>
      <sz val="9"/>
      <name val="Arial Narrow"/>
      <family val="2"/>
    </font>
    <font>
      <sz val="9"/>
      <name val="Arial Narrow"/>
      <family val="2"/>
    </font>
    <font>
      <sz val="11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name val="Times New Roman"/>
      <family val="1"/>
      <charset val="204"/>
    </font>
    <font>
      <sz val="10"/>
      <name val="Arial"/>
      <family val="2"/>
    </font>
    <font>
      <sz val="12"/>
      <name val="Calibri"/>
      <family val="2"/>
    </font>
    <font>
      <b/>
      <i/>
      <sz val="1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i/>
      <sz val="11"/>
      <color theme="1"/>
      <name val="Calibri"/>
      <family val="2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rgb="FF000000"/>
      <name val="Calibri"/>
      <family val="2"/>
    </font>
    <font>
      <b/>
      <i/>
      <sz val="11"/>
      <color theme="1"/>
      <name val="Calibri"/>
      <family val="2"/>
    </font>
    <font>
      <sz val="12"/>
      <color rgb="FFFF0000"/>
      <name val="Calibri"/>
      <family val="2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i/>
      <sz val="11"/>
      <color theme="1"/>
      <name val="Arial Narrow"/>
      <family val="2"/>
    </font>
    <font>
      <sz val="11"/>
      <color rgb="FF000000"/>
      <name val="Arial Narrow"/>
      <family val="2"/>
    </font>
    <font>
      <b/>
      <sz val="12"/>
      <color theme="1"/>
      <name val="Calibri"/>
      <family val="2"/>
    </font>
    <font>
      <b/>
      <i/>
      <sz val="11"/>
      <color rgb="FFFF0000"/>
      <name val="Arial Narrow"/>
      <family val="2"/>
    </font>
    <font>
      <sz val="12"/>
      <color theme="0"/>
      <name val="Calibri"/>
      <family val="2"/>
    </font>
    <font>
      <b/>
      <sz val="11"/>
      <color rgb="FF0000FF"/>
      <name val="Arial Narrow"/>
      <family val="2"/>
    </font>
    <font>
      <sz val="6"/>
      <color theme="1"/>
      <name val="Arial Narrow"/>
      <family val="2"/>
    </font>
    <font>
      <b/>
      <sz val="16"/>
      <color rgb="FF0000FF"/>
      <name val="Arial"/>
      <family val="2"/>
    </font>
    <font>
      <b/>
      <sz val="14"/>
      <color rgb="FF0000FF"/>
      <name val="Arial"/>
      <family val="2"/>
    </font>
    <font>
      <b/>
      <sz val="10"/>
      <color rgb="FF0000FF"/>
      <name val="Arial"/>
      <family val="2"/>
    </font>
    <font>
      <b/>
      <sz val="16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9"/>
      <color rgb="FFFF0000"/>
      <name val="Arial Narrow"/>
      <family val="2"/>
    </font>
    <font>
      <b/>
      <sz val="8"/>
      <color theme="0"/>
      <name val="Arial"/>
      <family val="2"/>
    </font>
    <font>
      <sz val="11"/>
      <color rgb="FF000000"/>
      <name val="Arial"/>
      <family val="2"/>
    </font>
    <font>
      <b/>
      <sz val="12"/>
      <color theme="0"/>
      <name val="Calibri"/>
      <family val="2"/>
    </font>
    <font>
      <b/>
      <i/>
      <sz val="12"/>
      <color theme="1"/>
      <name val="Calibri"/>
      <family val="2"/>
    </font>
    <font>
      <b/>
      <sz val="12"/>
      <color rgb="FFFF0000"/>
      <name val="Calibri"/>
      <family val="2"/>
    </font>
    <font>
      <i/>
      <sz val="10"/>
      <color rgb="FF000000"/>
      <name val="Cambria"/>
      <family val="1"/>
    </font>
    <font>
      <i/>
      <sz val="12"/>
      <color rgb="FF000000"/>
      <name val="Cambria"/>
      <family val="1"/>
    </font>
    <font>
      <b/>
      <sz val="14"/>
      <color theme="1"/>
      <name val="Times New Roman"/>
      <family val="1"/>
    </font>
    <font>
      <b/>
      <sz val="11"/>
      <name val="Calibri"/>
      <family val="2"/>
      <scheme val="minor"/>
    </font>
    <font>
      <b/>
      <sz val="14"/>
      <color theme="0"/>
      <name val="Arial"/>
      <family val="2"/>
    </font>
    <font>
      <i/>
      <sz val="12"/>
      <color theme="1"/>
      <name val="Calibri"/>
      <family val="2"/>
    </font>
    <font>
      <sz val="11"/>
      <color theme="1"/>
      <name val="Times New Roman"/>
      <family val="1"/>
    </font>
    <font>
      <b/>
      <sz val="14"/>
      <color rgb="FFC00000"/>
      <name val="Calibri"/>
      <family val="2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</font>
    <font>
      <b/>
      <sz val="16"/>
      <color theme="1"/>
      <name val="Calibri"/>
      <family val="2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i/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0"/>
      <name val="Arial"/>
      <family val="2"/>
    </font>
    <font>
      <b/>
      <sz val="11"/>
      <color rgb="FF00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399975585192419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3D7D"/>
        <bgColor indexed="64"/>
      </patternFill>
    </fill>
    <fill>
      <patternFill patternType="solid">
        <fgColor rgb="FF008ED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A6A6A6"/>
        <bgColor rgb="FF000000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808080"/>
      </left>
      <right/>
      <top style="medium">
        <color rgb="FF808080"/>
      </top>
      <bottom/>
      <diagonal/>
    </border>
    <border>
      <left/>
      <right/>
      <top style="medium">
        <color rgb="FF808080"/>
      </top>
      <bottom/>
      <diagonal/>
    </border>
    <border>
      <left style="medium">
        <color rgb="FF808080"/>
      </left>
      <right/>
      <top/>
      <bottom style="medium">
        <color rgb="FF808080"/>
      </bottom>
      <diagonal/>
    </border>
    <border>
      <left/>
      <right/>
      <top/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medium">
        <color rgb="FF808080"/>
      </left>
      <right/>
      <top/>
      <bottom/>
      <diagonal/>
    </border>
    <border>
      <left/>
      <right style="medium">
        <color rgb="FF808080"/>
      </right>
      <top style="medium">
        <color rgb="FF808080"/>
      </top>
      <bottom/>
      <diagonal/>
    </border>
    <border>
      <left/>
      <right style="medium">
        <color rgb="FF808080"/>
      </right>
      <top/>
      <bottom/>
      <diagonal/>
    </border>
    <border>
      <left/>
      <right style="medium">
        <color rgb="FF808080"/>
      </right>
      <top/>
      <bottom style="medium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0" tint="-0.499984740745262"/>
      </bottom>
      <diagonal/>
    </border>
  </borders>
  <cellStyleXfs count="437">
    <xf numFmtId="0" fontId="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30" fillId="0" borderId="0"/>
    <xf numFmtId="0" fontId="1" fillId="0" borderId="0"/>
    <xf numFmtId="0" fontId="25" fillId="0" borderId="0" applyNumberFormat="0" applyFill="0" applyBorder="0" applyProtection="0">
      <alignment vertical="top" wrapText="1"/>
    </xf>
    <xf numFmtId="0" fontId="30" fillId="0" borderId="0"/>
    <xf numFmtId="0" fontId="1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30" fillId="0" borderId="0" applyFont="0" applyFill="0" applyBorder="0" applyAlignment="0" applyProtection="0"/>
  </cellStyleXfs>
  <cellXfs count="984">
    <xf numFmtId="0" fontId="0" fillId="0" borderId="0" xfId="0"/>
    <xf numFmtId="0" fontId="0" fillId="4" borderId="0" xfId="0" applyFill="1"/>
    <xf numFmtId="0" fontId="35" fillId="5" borderId="0" xfId="0" applyFont="1" applyFill="1" applyBorder="1" applyAlignment="1" applyProtection="1">
      <alignment vertical="center"/>
    </xf>
    <xf numFmtId="0" fontId="35" fillId="5" borderId="0" xfId="0" applyFont="1" applyFill="1" applyBorder="1" applyAlignment="1" applyProtection="1">
      <alignment horizontal="center" vertical="center"/>
    </xf>
    <xf numFmtId="0" fontId="2" fillId="5" borderId="42" xfId="14" applyFont="1" applyFill="1" applyBorder="1" applyAlignment="1" applyProtection="1">
      <alignment horizontal="center" vertical="center"/>
    </xf>
    <xf numFmtId="0" fontId="2" fillId="5" borderId="43" xfId="14" applyFont="1" applyFill="1" applyBorder="1" applyAlignment="1" applyProtection="1">
      <alignment vertical="center"/>
    </xf>
    <xf numFmtId="0" fontId="1" fillId="5" borderId="44" xfId="14" applyFont="1" applyFill="1" applyBorder="1" applyAlignment="1" applyProtection="1">
      <alignment horizontal="center" vertical="center"/>
    </xf>
    <xf numFmtId="0" fontId="1" fillId="5" borderId="45" xfId="14" applyFont="1" applyFill="1" applyBorder="1" applyAlignment="1" applyProtection="1">
      <alignment vertical="center"/>
    </xf>
    <xf numFmtId="0" fontId="36" fillId="5" borderId="46" xfId="0" applyFont="1" applyFill="1" applyBorder="1" applyAlignment="1" applyProtection="1">
      <alignment horizontal="center" vertical="center"/>
    </xf>
    <xf numFmtId="2" fontId="35" fillId="5" borderId="0" xfId="0" applyNumberFormat="1" applyFont="1" applyFill="1" applyBorder="1" applyAlignment="1" applyProtection="1">
      <alignment vertical="center"/>
    </xf>
    <xf numFmtId="0" fontId="36" fillId="5" borderId="47" xfId="0" applyFont="1" applyFill="1" applyBorder="1" applyAlignment="1" applyProtection="1">
      <alignment horizontal="center" vertical="center"/>
    </xf>
    <xf numFmtId="2" fontId="36" fillId="5" borderId="47" xfId="0" applyNumberFormat="1" applyFont="1" applyFill="1" applyBorder="1" applyAlignment="1" applyProtection="1">
      <alignment vertical="center"/>
    </xf>
    <xf numFmtId="0" fontId="35" fillId="6" borderId="0" xfId="0" applyFont="1" applyFill="1" applyBorder="1" applyAlignment="1" applyProtection="1">
      <alignment vertical="center"/>
    </xf>
    <xf numFmtId="2" fontId="35" fillId="6" borderId="48" xfId="0" applyNumberFormat="1" applyFont="1" applyFill="1" applyBorder="1" applyAlignment="1" applyProtection="1">
      <alignment vertical="center"/>
      <protection locked="0"/>
    </xf>
    <xf numFmtId="2" fontId="35" fillId="5" borderId="49" xfId="0" applyNumberFormat="1" applyFont="1" applyFill="1" applyBorder="1" applyAlignment="1" applyProtection="1">
      <alignment vertical="center"/>
    </xf>
    <xf numFmtId="2" fontId="35" fillId="6" borderId="48" xfId="0" applyNumberFormat="1" applyFont="1" applyFill="1" applyBorder="1" applyAlignment="1" applyProtection="1">
      <alignment vertical="center"/>
    </xf>
    <xf numFmtId="0" fontId="36" fillId="5" borderId="0" xfId="0" applyFont="1" applyFill="1" applyBorder="1" applyAlignment="1" applyProtection="1">
      <alignment horizontal="center" vertical="center"/>
    </xf>
    <xf numFmtId="0" fontId="37" fillId="5" borderId="0" xfId="0" applyFont="1" applyFill="1" applyBorder="1" applyAlignment="1" applyProtection="1">
      <alignment horizontal="right" vertical="center"/>
    </xf>
    <xf numFmtId="0" fontId="38" fillId="5" borderId="0" xfId="0" applyFont="1" applyFill="1" applyBorder="1" applyAlignment="1" applyProtection="1">
      <alignment horizontal="center" vertical="center"/>
    </xf>
    <xf numFmtId="0" fontId="39" fillId="5" borderId="0" xfId="0" applyFont="1" applyFill="1" applyBorder="1" applyAlignment="1" applyProtection="1">
      <alignment horizontal="right" vertical="center"/>
    </xf>
    <xf numFmtId="2" fontId="35" fillId="6" borderId="0" xfId="0" applyNumberFormat="1" applyFont="1" applyFill="1" applyBorder="1" applyAlignment="1" applyProtection="1">
      <alignment vertical="center"/>
      <protection locked="0"/>
    </xf>
    <xf numFmtId="2" fontId="35" fillId="6" borderId="0" xfId="0" applyNumberFormat="1" applyFont="1" applyFill="1" applyBorder="1" applyAlignment="1" applyProtection="1">
      <alignment vertical="center"/>
    </xf>
    <xf numFmtId="2" fontId="40" fillId="6" borderId="0" xfId="0" applyNumberFormat="1" applyFont="1" applyFill="1" applyBorder="1" applyAlignment="1" applyProtection="1">
      <alignment vertical="center"/>
    </xf>
    <xf numFmtId="0" fontId="1" fillId="5" borderId="0" xfId="14" applyFont="1" applyFill="1" applyBorder="1" applyAlignment="1" applyProtection="1">
      <alignment horizontal="center" vertical="center"/>
    </xf>
    <xf numFmtId="0" fontId="1" fillId="5" borderId="0" xfId="14" applyFont="1" applyFill="1" applyBorder="1" applyAlignment="1" applyProtection="1">
      <alignment vertical="center"/>
    </xf>
    <xf numFmtId="0" fontId="2" fillId="7" borderId="42" xfId="14" applyFont="1" applyFill="1" applyBorder="1" applyAlignment="1" applyProtection="1">
      <alignment horizontal="center" vertical="center"/>
    </xf>
    <xf numFmtId="0" fontId="2" fillId="7" borderId="43" xfId="14" applyFont="1" applyFill="1" applyBorder="1" applyAlignment="1" applyProtection="1">
      <alignment vertical="center"/>
    </xf>
    <xf numFmtId="0" fontId="5" fillId="7" borderId="0" xfId="14" quotePrefix="1" applyFont="1" applyFill="1" applyBorder="1" applyAlignment="1" applyProtection="1">
      <alignment horizontal="left" vertical="center"/>
    </xf>
    <xf numFmtId="0" fontId="3" fillId="7" borderId="0" xfId="14" applyFont="1" applyFill="1" applyBorder="1" applyAlignment="1" applyProtection="1">
      <alignment horizontal="right" vertical="center"/>
    </xf>
    <xf numFmtId="0" fontId="1" fillId="7" borderId="44" xfId="14" applyFont="1" applyFill="1" applyBorder="1" applyAlignment="1" applyProtection="1">
      <alignment horizontal="center" vertical="center"/>
    </xf>
    <xf numFmtId="0" fontId="1" fillId="7" borderId="45" xfId="14" applyFont="1" applyFill="1" applyBorder="1" applyAlignment="1" applyProtection="1">
      <alignment vertical="center"/>
    </xf>
    <xf numFmtId="0" fontId="39" fillId="5" borderId="48" xfId="0" applyFont="1" applyFill="1" applyBorder="1" applyAlignment="1" applyProtection="1">
      <alignment horizontal="left" vertical="center"/>
    </xf>
    <xf numFmtId="0" fontId="39" fillId="5" borderId="48" xfId="0" applyFont="1" applyFill="1" applyBorder="1" applyAlignment="1" applyProtection="1">
      <alignment horizontal="center" vertical="center"/>
    </xf>
    <xf numFmtId="0" fontId="36" fillId="8" borderId="47" xfId="0" applyFont="1" applyFill="1" applyBorder="1" applyAlignment="1" applyProtection="1">
      <alignment horizontal="center" vertical="center"/>
    </xf>
    <xf numFmtId="0" fontId="38" fillId="8" borderId="48" xfId="0" applyFont="1" applyFill="1" applyBorder="1" applyAlignment="1" applyProtection="1">
      <alignment horizontal="left" vertical="center"/>
    </xf>
    <xf numFmtId="2" fontId="35" fillId="8" borderId="48" xfId="0" applyNumberFormat="1" applyFont="1" applyFill="1" applyBorder="1" applyAlignment="1" applyProtection="1">
      <alignment vertical="center"/>
      <protection locked="0"/>
    </xf>
    <xf numFmtId="2" fontId="35" fillId="8" borderId="49" xfId="0" applyNumberFormat="1" applyFont="1" applyFill="1" applyBorder="1" applyAlignment="1" applyProtection="1">
      <alignment vertical="center"/>
    </xf>
    <xf numFmtId="2" fontId="35" fillId="8" borderId="48" xfId="0" applyNumberFormat="1" applyFont="1" applyFill="1" applyBorder="1" applyAlignment="1" applyProtection="1">
      <alignment vertical="center"/>
    </xf>
    <xf numFmtId="2" fontId="40" fillId="8" borderId="48" xfId="0" applyNumberFormat="1" applyFont="1" applyFill="1" applyBorder="1" applyAlignment="1" applyProtection="1">
      <alignment vertical="center"/>
    </xf>
    <xf numFmtId="0" fontId="39" fillId="6" borderId="48" xfId="0" applyFont="1" applyFill="1" applyBorder="1" applyAlignment="1" applyProtection="1">
      <alignment horizontal="center" vertical="center"/>
    </xf>
    <xf numFmtId="2" fontId="41" fillId="6" borderId="48" xfId="0" applyNumberFormat="1" applyFont="1" applyFill="1" applyBorder="1" applyAlignment="1" applyProtection="1">
      <alignment vertical="center"/>
    </xf>
    <xf numFmtId="0" fontId="0" fillId="0" borderId="1" xfId="0" applyBorder="1"/>
    <xf numFmtId="43" fontId="29" fillId="0" borderId="1" xfId="429" applyFont="1" applyBorder="1"/>
    <xf numFmtId="0" fontId="0" fillId="0" borderId="1" xfId="0" applyFill="1" applyBorder="1"/>
    <xf numFmtId="0" fontId="0" fillId="0" borderId="0" xfId="0" applyAlignment="1">
      <alignment horizontal="center"/>
    </xf>
    <xf numFmtId="0" fontId="34" fillId="9" borderId="2" xfId="0" applyFont="1" applyFill="1" applyBorder="1" applyAlignment="1"/>
    <xf numFmtId="0" fontId="0" fillId="0" borderId="1" xfId="0" applyBorder="1" applyAlignment="1">
      <alignment horizontal="center"/>
    </xf>
    <xf numFmtId="0" fontId="42" fillId="0" borderId="0" xfId="0" applyFont="1"/>
    <xf numFmtId="0" fontId="34" fillId="0" borderId="1" xfId="0" applyFont="1" applyBorder="1"/>
    <xf numFmtId="43" fontId="0" fillId="0" borderId="0" xfId="0" applyNumberFormat="1"/>
    <xf numFmtId="14" fontId="0" fillId="0" borderId="0" xfId="0" applyNumberFormat="1"/>
    <xf numFmtId="0" fontId="34" fillId="10" borderId="1" xfId="0" applyFont="1" applyFill="1" applyBorder="1" applyAlignment="1">
      <alignment horizontal="center" vertical="center"/>
    </xf>
    <xf numFmtId="0" fontId="34" fillId="10" borderId="3" xfId="0" applyFont="1" applyFill="1" applyBorder="1" applyAlignment="1">
      <alignment horizontal="center" vertical="center"/>
    </xf>
    <xf numFmtId="0" fontId="34" fillId="10" borderId="3" xfId="0" applyFont="1" applyFill="1" applyBorder="1" applyAlignment="1">
      <alignment horizontal="center" vertical="center" wrapText="1"/>
    </xf>
    <xf numFmtId="43" fontId="0" fillId="0" borderId="1" xfId="0" applyNumberFormat="1" applyBorder="1"/>
    <xf numFmtId="2" fontId="2" fillId="7" borderId="43" xfId="14" applyNumberFormat="1" applyFont="1" applyFill="1" applyBorder="1" applyAlignment="1" applyProtection="1">
      <alignment vertical="center"/>
    </xf>
    <xf numFmtId="2" fontId="2" fillId="7" borderId="51" xfId="14" applyNumberFormat="1" applyFont="1" applyFill="1" applyBorder="1" applyAlignment="1" applyProtection="1">
      <alignment vertical="center"/>
    </xf>
    <xf numFmtId="2" fontId="3" fillId="7" borderId="0" xfId="14" applyNumberFormat="1" applyFont="1" applyFill="1" applyBorder="1" applyAlignment="1" applyProtection="1">
      <alignment horizontal="center" vertical="center"/>
    </xf>
    <xf numFmtId="2" fontId="3" fillId="7" borderId="52" xfId="14" applyNumberFormat="1" applyFont="1" applyFill="1" applyBorder="1" applyAlignment="1" applyProtection="1">
      <alignment horizontal="center" vertical="center"/>
    </xf>
    <xf numFmtId="0" fontId="43" fillId="5" borderId="48" xfId="0" applyFont="1" applyFill="1" applyBorder="1" applyAlignment="1" applyProtection="1">
      <alignment horizontal="left" vertical="center"/>
    </xf>
    <xf numFmtId="2" fontId="44" fillId="6" borderId="48" xfId="0" applyNumberFormat="1" applyFont="1" applyFill="1" applyBorder="1" applyAlignment="1" applyProtection="1">
      <alignment vertical="center"/>
      <protection locked="0"/>
    </xf>
    <xf numFmtId="2" fontId="44" fillId="5" borderId="49" xfId="0" applyNumberFormat="1" applyFont="1" applyFill="1" applyBorder="1" applyAlignment="1" applyProtection="1">
      <alignment vertical="center"/>
    </xf>
    <xf numFmtId="2" fontId="44" fillId="6" borderId="48" xfId="0" applyNumberFormat="1" applyFont="1" applyFill="1" applyBorder="1" applyAlignment="1" applyProtection="1">
      <alignment vertical="center"/>
    </xf>
    <xf numFmtId="0" fontId="38" fillId="11" borderId="48" xfId="0" applyFont="1" applyFill="1" applyBorder="1" applyAlignment="1" applyProtection="1">
      <alignment horizontal="left" vertical="center"/>
    </xf>
    <xf numFmtId="2" fontId="35" fillId="11" borderId="48" xfId="0" applyNumberFormat="1" applyFont="1" applyFill="1" applyBorder="1" applyAlignment="1" applyProtection="1">
      <alignment vertical="center"/>
      <protection locked="0"/>
    </xf>
    <xf numFmtId="2" fontId="35" fillId="11" borderId="49" xfId="0" applyNumberFormat="1" applyFont="1" applyFill="1" applyBorder="1" applyAlignment="1" applyProtection="1">
      <alignment vertical="center"/>
    </xf>
    <xf numFmtId="2" fontId="35" fillId="11" borderId="48" xfId="0" applyNumberFormat="1" applyFont="1" applyFill="1" applyBorder="1" applyAlignment="1" applyProtection="1">
      <alignment vertical="center"/>
    </xf>
    <xf numFmtId="2" fontId="41" fillId="11" borderId="48" xfId="0" applyNumberFormat="1" applyFont="1" applyFill="1" applyBorder="1" applyAlignment="1" applyProtection="1">
      <alignment vertical="center"/>
      <protection locked="0"/>
    </xf>
    <xf numFmtId="2" fontId="37" fillId="6" borderId="48" xfId="0" applyNumberFormat="1" applyFont="1" applyFill="1" applyBorder="1" applyAlignment="1" applyProtection="1">
      <alignment horizontal="center" vertical="center"/>
      <protection locked="0"/>
    </xf>
    <xf numFmtId="2" fontId="4" fillId="7" borderId="52" xfId="14" applyNumberFormat="1" applyFont="1" applyFill="1" applyBorder="1" applyAlignment="1" applyProtection="1">
      <alignment horizontal="left" vertical="center"/>
    </xf>
    <xf numFmtId="2" fontId="35" fillId="6" borderId="48" xfId="0" applyNumberFormat="1" applyFont="1" applyFill="1" applyBorder="1" applyAlignment="1" applyProtection="1">
      <alignment horizontal="center" vertical="center"/>
      <protection locked="0"/>
    </xf>
    <xf numFmtId="2" fontId="37" fillId="6" borderId="48" xfId="0" applyNumberFormat="1" applyFont="1" applyFill="1" applyBorder="1" applyAlignment="1" applyProtection="1">
      <alignment vertical="center"/>
      <protection locked="0"/>
    </xf>
    <xf numFmtId="2" fontId="4" fillId="7" borderId="0" xfId="14" applyNumberFormat="1" applyFont="1" applyFill="1" applyBorder="1" applyAlignment="1" applyProtection="1">
      <alignment horizontal="right" vertical="center"/>
    </xf>
    <xf numFmtId="2" fontId="1" fillId="7" borderId="45" xfId="14" applyNumberFormat="1" applyFont="1" applyFill="1" applyBorder="1" applyAlignment="1" applyProtection="1">
      <alignment vertical="center"/>
    </xf>
    <xf numFmtId="2" fontId="1" fillId="7" borderId="53" xfId="14" applyNumberFormat="1" applyFont="1" applyFill="1" applyBorder="1" applyAlignment="1" applyProtection="1">
      <alignment vertical="center"/>
    </xf>
    <xf numFmtId="2" fontId="1" fillId="5" borderId="0" xfId="14" applyNumberFormat="1" applyFont="1" applyFill="1" applyBorder="1" applyAlignment="1" applyProtection="1">
      <alignment vertical="center"/>
    </xf>
    <xf numFmtId="2" fontId="0" fillId="4" borderId="0" xfId="0" applyNumberFormat="1" applyFill="1"/>
    <xf numFmtId="0" fontId="36" fillId="11" borderId="47" xfId="0" applyFont="1" applyFill="1" applyBorder="1" applyAlignment="1" applyProtection="1">
      <alignment horizontal="center" vertical="center"/>
    </xf>
    <xf numFmtId="2" fontId="40" fillId="11" borderId="48" xfId="0" applyNumberFormat="1" applyFont="1" applyFill="1" applyBorder="1" applyAlignment="1" applyProtection="1">
      <alignment vertical="center"/>
    </xf>
    <xf numFmtId="0" fontId="39" fillId="5" borderId="47" xfId="0" applyFont="1" applyFill="1" applyBorder="1" applyAlignment="1" applyProtection="1">
      <alignment horizontal="center" vertical="center"/>
    </xf>
    <xf numFmtId="0" fontId="39" fillId="5" borderId="0" xfId="0" applyFont="1" applyFill="1" applyBorder="1" applyAlignment="1" applyProtection="1">
      <alignment horizontal="center" vertical="center"/>
    </xf>
    <xf numFmtId="0" fontId="39" fillId="5" borderId="0" xfId="0" applyFont="1" applyFill="1" applyBorder="1" applyAlignment="1" applyProtection="1">
      <alignment horizontal="left" vertical="center"/>
    </xf>
    <xf numFmtId="2" fontId="37" fillId="6" borderId="0" xfId="0" applyNumberFormat="1" applyFont="1" applyFill="1" applyBorder="1" applyAlignment="1" applyProtection="1">
      <alignment horizontal="center" vertical="center"/>
      <protection locked="0"/>
    </xf>
    <xf numFmtId="2" fontId="41" fillId="6" borderId="0" xfId="0" applyNumberFormat="1" applyFont="1" applyFill="1" applyBorder="1" applyAlignment="1" applyProtection="1">
      <alignment vertical="center"/>
    </xf>
    <xf numFmtId="2" fontId="44" fillId="6" borderId="0" xfId="0" applyNumberFormat="1" applyFont="1" applyFill="1" applyBorder="1" applyAlignment="1" applyProtection="1">
      <alignment vertical="center"/>
      <protection locked="0"/>
    </xf>
    <xf numFmtId="2" fontId="44" fillId="6" borderId="0" xfId="0" applyNumberFormat="1" applyFont="1" applyFill="1" applyBorder="1" applyAlignment="1" applyProtection="1">
      <alignment vertical="center"/>
    </xf>
    <xf numFmtId="2" fontId="2" fillId="5" borderId="43" xfId="14" applyNumberFormat="1" applyFont="1" applyFill="1" applyBorder="1" applyAlignment="1" applyProtection="1">
      <alignment vertical="center"/>
    </xf>
    <xf numFmtId="2" fontId="2" fillId="5" borderId="51" xfId="14" applyNumberFormat="1" applyFont="1" applyFill="1" applyBorder="1" applyAlignment="1" applyProtection="1">
      <alignment vertical="center"/>
    </xf>
    <xf numFmtId="2" fontId="1" fillId="5" borderId="45" xfId="14" applyNumberFormat="1" applyFont="1" applyFill="1" applyBorder="1" applyAlignment="1" applyProtection="1">
      <alignment vertical="center"/>
    </xf>
    <xf numFmtId="2" fontId="1" fillId="5" borderId="53" xfId="14" applyNumberFormat="1" applyFont="1" applyFill="1" applyBorder="1" applyAlignment="1" applyProtection="1">
      <alignment vertical="center"/>
    </xf>
    <xf numFmtId="2" fontId="36" fillId="5" borderId="46" xfId="0" applyNumberFormat="1" applyFont="1" applyFill="1" applyBorder="1" applyAlignment="1" applyProtection="1">
      <alignment horizontal="center" vertical="center"/>
    </xf>
    <xf numFmtId="2" fontId="41" fillId="8" borderId="48" xfId="0" applyNumberFormat="1" applyFont="1" applyFill="1" applyBorder="1" applyAlignment="1" applyProtection="1">
      <alignment vertical="center"/>
      <protection locked="0"/>
    </xf>
    <xf numFmtId="0" fontId="45" fillId="4" borderId="0" xfId="0" applyFont="1" applyFill="1"/>
    <xf numFmtId="0" fontId="46" fillId="6" borderId="47" xfId="0" applyFont="1" applyFill="1" applyBorder="1" applyAlignment="1" applyProtection="1">
      <alignment horizontal="center" vertical="center"/>
    </xf>
    <xf numFmtId="0" fontId="46" fillId="6" borderId="0" xfId="0" applyFont="1" applyFill="1" applyBorder="1" applyAlignment="1" applyProtection="1">
      <alignment horizontal="left" vertical="center"/>
    </xf>
    <xf numFmtId="2" fontId="46" fillId="6" borderId="0" xfId="0" applyNumberFormat="1" applyFont="1" applyFill="1" applyBorder="1" applyAlignment="1" applyProtection="1">
      <alignment horizontal="left" vertical="center"/>
    </xf>
    <xf numFmtId="2" fontId="46" fillId="6" borderId="47" xfId="0" applyNumberFormat="1" applyFont="1" applyFill="1" applyBorder="1" applyAlignment="1" applyProtection="1">
      <alignment vertical="center"/>
    </xf>
    <xf numFmtId="0" fontId="47" fillId="6" borderId="48" xfId="0" applyFont="1" applyFill="1" applyBorder="1" applyAlignment="1" applyProtection="1">
      <alignment horizontal="right" vertical="center"/>
    </xf>
    <xf numFmtId="2" fontId="48" fillId="6" borderId="48" xfId="0" applyNumberFormat="1" applyFont="1" applyFill="1" applyBorder="1" applyAlignment="1" applyProtection="1">
      <alignment vertical="center"/>
      <protection locked="0"/>
    </xf>
    <xf numFmtId="2" fontId="48" fillId="6" borderId="49" xfId="0" applyNumberFormat="1" applyFont="1" applyFill="1" applyBorder="1" applyAlignment="1" applyProtection="1">
      <alignment vertical="center"/>
    </xf>
    <xf numFmtId="2" fontId="48" fillId="6" borderId="48" xfId="0" applyNumberFormat="1" applyFont="1" applyFill="1" applyBorder="1" applyAlignment="1" applyProtection="1">
      <alignment vertical="center"/>
    </xf>
    <xf numFmtId="2" fontId="45" fillId="4" borderId="0" xfId="0" applyNumberFormat="1" applyFont="1" applyFill="1"/>
    <xf numFmtId="0" fontId="49" fillId="10" borderId="1" xfId="0" applyFont="1" applyFill="1" applyBorder="1" applyAlignment="1">
      <alignment horizontal="center"/>
    </xf>
    <xf numFmtId="0" fontId="49" fillId="10" borderId="1" xfId="0" applyFont="1" applyFill="1" applyBorder="1" applyAlignment="1">
      <alignment horizontal="center" vertical="center"/>
    </xf>
    <xf numFmtId="0" fontId="49" fillId="12" borderId="1" xfId="0" applyFont="1" applyFill="1" applyBorder="1" applyAlignment="1">
      <alignment horizontal="center"/>
    </xf>
    <xf numFmtId="0" fontId="50" fillId="12" borderId="1" xfId="0" applyFont="1" applyFill="1" applyBorder="1"/>
    <xf numFmtId="0" fontId="50" fillId="12" borderId="1" xfId="0" applyFont="1" applyFill="1" applyBorder="1" applyAlignment="1">
      <alignment horizontal="center" vertical="center"/>
    </xf>
    <xf numFmtId="0" fontId="50" fillId="12" borderId="1" xfId="0" applyFont="1" applyFill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 vertical="center"/>
    </xf>
    <xf numFmtId="43" fontId="50" fillId="0" borderId="1" xfId="429" applyFont="1" applyBorder="1" applyAlignment="1">
      <alignment horizontal="center"/>
    </xf>
    <xf numFmtId="0" fontId="50" fillId="0" borderId="1" xfId="0" applyFont="1" applyBorder="1"/>
    <xf numFmtId="43" fontId="49" fillId="0" borderId="1" xfId="429" applyFont="1" applyBorder="1" applyAlignment="1">
      <alignment horizontal="center"/>
    </xf>
    <xf numFmtId="0" fontId="49" fillId="12" borderId="1" xfId="0" applyFont="1" applyFill="1" applyBorder="1" applyAlignment="1">
      <alignment horizontal="left"/>
    </xf>
    <xf numFmtId="0" fontId="50" fillId="0" borderId="1" xfId="0" applyFont="1" applyFill="1" applyBorder="1" applyAlignment="1">
      <alignment horizontal="center"/>
    </xf>
    <xf numFmtId="0" fontId="50" fillId="0" borderId="1" xfId="0" applyFont="1" applyFill="1" applyBorder="1"/>
    <xf numFmtId="43" fontId="50" fillId="0" borderId="1" xfId="429" applyFont="1" applyBorder="1"/>
    <xf numFmtId="43" fontId="50" fillId="12" borderId="1" xfId="429" applyFont="1" applyFill="1" applyBorder="1" applyAlignment="1">
      <alignment horizontal="center"/>
    </xf>
    <xf numFmtId="43" fontId="50" fillId="12" borderId="1" xfId="429" applyFont="1" applyFill="1" applyBorder="1"/>
    <xf numFmtId="43" fontId="50" fillId="0" borderId="1" xfId="429" applyFont="1" applyFill="1" applyBorder="1" applyAlignment="1">
      <alignment horizontal="center"/>
    </xf>
    <xf numFmtId="43" fontId="50" fillId="0" borderId="1" xfId="429" applyFont="1" applyFill="1" applyBorder="1"/>
    <xf numFmtId="43" fontId="49" fillId="0" borderId="1" xfId="429" applyFont="1" applyBorder="1"/>
    <xf numFmtId="0" fontId="49" fillId="0" borderId="1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vertical="center"/>
    </xf>
    <xf numFmtId="2" fontId="44" fillId="6" borderId="48" xfId="0" applyNumberFormat="1" applyFont="1" applyFill="1" applyBorder="1" applyAlignment="1" applyProtection="1">
      <alignment horizontal="center" vertical="center"/>
      <protection locked="0"/>
    </xf>
    <xf numFmtId="2" fontId="44" fillId="6" borderId="48" xfId="0" applyNumberFormat="1" applyFont="1" applyFill="1" applyBorder="1" applyAlignment="1" applyProtection="1">
      <alignment horizontal="center" vertical="center"/>
    </xf>
    <xf numFmtId="0" fontId="39" fillId="13" borderId="48" xfId="0" applyFont="1" applyFill="1" applyBorder="1" applyAlignment="1" applyProtection="1">
      <alignment horizontal="center" vertical="center"/>
    </xf>
    <xf numFmtId="0" fontId="51" fillId="0" borderId="0" xfId="0" applyFont="1"/>
    <xf numFmtId="43" fontId="51" fillId="0" borderId="1" xfId="429" applyFont="1" applyBorder="1"/>
    <xf numFmtId="0" fontId="51" fillId="0" borderId="1" xfId="0" applyFont="1" applyBorder="1"/>
    <xf numFmtId="0" fontId="0" fillId="14" borderId="0" xfId="0" applyFill="1"/>
    <xf numFmtId="0" fontId="0" fillId="0" borderId="0" xfId="0" applyFill="1"/>
    <xf numFmtId="0" fontId="52" fillId="10" borderId="1" xfId="0" applyFont="1" applyFill="1" applyBorder="1" applyAlignment="1">
      <alignment horizontal="center"/>
    </xf>
    <xf numFmtId="0" fontId="52" fillId="10" borderId="4" xfId="0" applyFont="1" applyFill="1" applyBorder="1" applyAlignment="1">
      <alignment horizontal="center"/>
    </xf>
    <xf numFmtId="0" fontId="52" fillId="9" borderId="4" xfId="0" applyFont="1" applyFill="1" applyBorder="1" applyAlignment="1"/>
    <xf numFmtId="0" fontId="52" fillId="9" borderId="5" xfId="0" applyFont="1" applyFill="1" applyBorder="1" applyAlignment="1"/>
    <xf numFmtId="0" fontId="52" fillId="0" borderId="1" xfId="0" applyFont="1" applyBorder="1"/>
    <xf numFmtId="0" fontId="52" fillId="10" borderId="1" xfId="0" applyFont="1" applyFill="1" applyBorder="1"/>
    <xf numFmtId="43" fontId="52" fillId="10" borderId="1" xfId="0" applyNumberFormat="1" applyFont="1" applyFill="1" applyBorder="1"/>
    <xf numFmtId="0" fontId="53" fillId="0" borderId="6" xfId="0" applyFont="1" applyFill="1" applyBorder="1" applyAlignment="1">
      <alignment horizontal="center"/>
    </xf>
    <xf numFmtId="0" fontId="52" fillId="0" borderId="4" xfId="0" applyFont="1" applyFill="1" applyBorder="1"/>
    <xf numFmtId="43" fontId="52" fillId="0" borderId="1" xfId="0" applyNumberFormat="1" applyFont="1" applyFill="1" applyBorder="1"/>
    <xf numFmtId="0" fontId="54" fillId="0" borderId="4" xfId="0" applyFont="1" applyFill="1" applyBorder="1" applyAlignment="1">
      <alignment vertical="center"/>
    </xf>
    <xf numFmtId="0" fontId="52" fillId="15" borderId="4" xfId="0" applyFont="1" applyFill="1" applyBorder="1"/>
    <xf numFmtId="43" fontId="52" fillId="15" borderId="1" xfId="0" applyNumberFormat="1" applyFont="1" applyFill="1" applyBorder="1"/>
    <xf numFmtId="43" fontId="52" fillId="15" borderId="1" xfId="0" applyNumberFormat="1" applyFont="1" applyFill="1" applyBorder="1" applyAlignment="1">
      <alignment horizontal="center"/>
    </xf>
    <xf numFmtId="0" fontId="51" fillId="0" borderId="0" xfId="0" applyFont="1" applyAlignment="1">
      <alignment horizontal="center"/>
    </xf>
    <xf numFmtId="0" fontId="51" fillId="0" borderId="1" xfId="0" applyFont="1" applyBorder="1" applyAlignment="1">
      <alignment horizontal="center"/>
    </xf>
    <xf numFmtId="43" fontId="51" fillId="0" borderId="1" xfId="429" applyFont="1" applyBorder="1" applyAlignment="1">
      <alignment horizontal="center"/>
    </xf>
    <xf numFmtId="0" fontId="51" fillId="0" borderId="1" xfId="0" applyFont="1" applyFill="1" applyBorder="1"/>
    <xf numFmtId="43" fontId="51" fillId="0" borderId="1" xfId="429" applyFont="1" applyFill="1" applyBorder="1"/>
    <xf numFmtId="0" fontId="51" fillId="0" borderId="4" xfId="0" applyFont="1" applyFill="1" applyBorder="1"/>
    <xf numFmtId="43" fontId="51" fillId="0" borderId="1" xfId="0" applyNumberFormat="1" applyFont="1" applyFill="1" applyBorder="1"/>
    <xf numFmtId="0" fontId="49" fillId="10" borderId="4" xfId="0" applyFont="1" applyFill="1" applyBorder="1" applyAlignment="1">
      <alignment horizontal="center" vertical="center"/>
    </xf>
    <xf numFmtId="0" fontId="49" fillId="10" borderId="2" xfId="0" applyFont="1" applyFill="1" applyBorder="1" applyAlignment="1">
      <alignment horizontal="center" vertical="center"/>
    </xf>
    <xf numFmtId="0" fontId="49" fillId="10" borderId="5" xfId="0" applyFont="1" applyFill="1" applyBorder="1" applyAlignment="1">
      <alignment horizontal="center" vertical="center"/>
    </xf>
    <xf numFmtId="0" fontId="52" fillId="0" borderId="1" xfId="0" applyFont="1" applyFill="1" applyBorder="1" applyAlignment="1"/>
    <xf numFmtId="43" fontId="29" fillId="0" borderId="0" xfId="429" applyFont="1"/>
    <xf numFmtId="43" fontId="55" fillId="0" borderId="0" xfId="429" applyFont="1"/>
    <xf numFmtId="43" fontId="51" fillId="0" borderId="5" xfId="429" applyFont="1" applyBorder="1"/>
    <xf numFmtId="43" fontId="55" fillId="0" borderId="1" xfId="429" applyFont="1" applyBorder="1"/>
    <xf numFmtId="0" fontId="55" fillId="0" borderId="1" xfId="0" applyFont="1" applyBorder="1" applyAlignment="1">
      <alignment horizontal="center" vertical="center"/>
    </xf>
    <xf numFmtId="0" fontId="53" fillId="0" borderId="0" xfId="0" applyFont="1" applyFill="1" applyBorder="1" applyAlignment="1">
      <alignment horizontal="center"/>
    </xf>
    <xf numFmtId="43" fontId="56" fillId="0" borderId="1" xfId="429" applyFont="1" applyBorder="1" applyAlignment="1">
      <alignment horizontal="center"/>
    </xf>
    <xf numFmtId="43" fontId="55" fillId="0" borderId="0" xfId="0" applyNumberFormat="1" applyFont="1"/>
    <xf numFmtId="0" fontId="52" fillId="10" borderId="1" xfId="0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/>
    </xf>
    <xf numFmtId="43" fontId="35" fillId="0" borderId="1" xfId="0" applyNumberFormat="1" applyFont="1" applyBorder="1"/>
    <xf numFmtId="43" fontId="55" fillId="0" borderId="1" xfId="0" applyNumberFormat="1" applyFont="1" applyBorder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center" vertical="center"/>
    </xf>
    <xf numFmtId="0" fontId="57" fillId="4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51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51" fillId="4" borderId="1" xfId="0" applyFont="1" applyFill="1" applyBorder="1" applyAlignment="1">
      <alignment vertical="center"/>
    </xf>
    <xf numFmtId="43" fontId="51" fillId="4" borderId="1" xfId="429" applyFont="1" applyFill="1" applyBorder="1" applyAlignment="1">
      <alignment vertical="center"/>
    </xf>
    <xf numFmtId="43" fontId="51" fillId="4" borderId="4" xfId="429" applyFont="1" applyFill="1" applyBorder="1" applyAlignment="1">
      <alignment vertical="center"/>
    </xf>
    <xf numFmtId="43" fontId="51" fillId="4" borderId="1" xfId="429" applyFont="1" applyFill="1" applyBorder="1" applyAlignment="1">
      <alignment horizontal="center" vertical="center"/>
    </xf>
    <xf numFmtId="43" fontId="29" fillId="4" borderId="0" xfId="429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53" fillId="4" borderId="0" xfId="0" applyFont="1" applyFill="1" applyBorder="1" applyAlignment="1">
      <alignment horizontal="center" vertical="center"/>
    </xf>
    <xf numFmtId="0" fontId="51" fillId="4" borderId="4" xfId="0" applyFont="1" applyFill="1" applyBorder="1" applyAlignment="1">
      <alignment vertical="center"/>
    </xf>
    <xf numFmtId="43" fontId="51" fillId="4" borderId="3" xfId="429" applyFont="1" applyFill="1" applyBorder="1" applyAlignment="1">
      <alignment horizontal="center" vertical="center"/>
    </xf>
    <xf numFmtId="43" fontId="51" fillId="4" borderId="5" xfId="429" applyFont="1" applyFill="1" applyBorder="1" applyAlignment="1">
      <alignment horizontal="center" vertical="center"/>
    </xf>
    <xf numFmtId="43" fontId="51" fillId="4" borderId="5" xfId="429" applyFont="1" applyFill="1" applyBorder="1" applyAlignment="1">
      <alignment vertical="center"/>
    </xf>
    <xf numFmtId="43" fontId="51" fillId="4" borderId="3" xfId="429" applyFont="1" applyFill="1" applyBorder="1" applyAlignment="1">
      <alignment vertical="center"/>
    </xf>
    <xf numFmtId="0" fontId="51" fillId="4" borderId="3" xfId="0" applyFont="1" applyFill="1" applyBorder="1" applyAlignment="1">
      <alignment vertical="center"/>
    </xf>
    <xf numFmtId="43" fontId="51" fillId="4" borderId="7" xfId="429" applyFont="1" applyFill="1" applyBorder="1" applyAlignment="1">
      <alignment vertical="center"/>
    </xf>
    <xf numFmtId="43" fontId="51" fillId="4" borderId="2" xfId="429" applyFont="1" applyFill="1" applyBorder="1" applyAlignment="1">
      <alignment vertical="center"/>
    </xf>
    <xf numFmtId="43" fontId="58" fillId="4" borderId="3" xfId="429" applyFont="1" applyFill="1" applyBorder="1" applyAlignment="1">
      <alignment horizontal="center" vertical="center"/>
    </xf>
    <xf numFmtId="2" fontId="52" fillId="4" borderId="3" xfId="429" applyNumberFormat="1" applyFont="1" applyFill="1" applyBorder="1" applyAlignment="1">
      <alignment horizontal="center" vertical="center"/>
    </xf>
    <xf numFmtId="43" fontId="58" fillId="4" borderId="1" xfId="429" applyFont="1" applyFill="1" applyBorder="1" applyAlignment="1">
      <alignment horizontal="center" vertical="center"/>
    </xf>
    <xf numFmtId="43" fontId="6" fillId="4" borderId="1" xfId="429" applyFont="1" applyFill="1" applyBorder="1" applyAlignment="1">
      <alignment vertical="center"/>
    </xf>
    <xf numFmtId="43" fontId="6" fillId="4" borderId="3" xfId="429" applyFont="1" applyFill="1" applyBorder="1" applyAlignment="1">
      <alignment vertical="center"/>
    </xf>
    <xf numFmtId="0" fontId="52" fillId="16" borderId="4" xfId="0" applyFont="1" applyFill="1" applyBorder="1" applyAlignment="1">
      <alignment horizontal="centerContinuous" vertical="center"/>
    </xf>
    <xf numFmtId="0" fontId="49" fillId="16" borderId="5" xfId="0" applyFont="1" applyFill="1" applyBorder="1" applyAlignment="1">
      <alignment horizontal="centerContinuous" vertical="center"/>
    </xf>
    <xf numFmtId="0" fontId="49" fillId="16" borderId="2" xfId="0" applyFont="1" applyFill="1" applyBorder="1" applyAlignment="1">
      <alignment horizontal="centerContinuous" vertical="center"/>
    </xf>
    <xf numFmtId="0" fontId="52" fillId="16" borderId="5" xfId="0" applyFont="1" applyFill="1" applyBorder="1" applyAlignment="1">
      <alignment horizontal="centerContinuous" vertical="center"/>
    </xf>
    <xf numFmtId="0" fontId="52" fillId="16" borderId="2" xfId="0" applyFont="1" applyFill="1" applyBorder="1" applyAlignment="1">
      <alignment horizontal="centerContinuous" vertical="center"/>
    </xf>
    <xf numFmtId="2" fontId="52" fillId="4" borderId="7" xfId="429" applyNumberFormat="1" applyFont="1" applyFill="1" applyBorder="1" applyAlignment="1">
      <alignment horizontal="center" vertical="center"/>
    </xf>
    <xf numFmtId="43" fontId="51" fillId="4" borderId="4" xfId="429" applyFont="1" applyFill="1" applyBorder="1" applyAlignment="1">
      <alignment horizontal="center" vertical="center"/>
    </xf>
    <xf numFmtId="0" fontId="59" fillId="16" borderId="5" xfId="0" applyFont="1" applyFill="1" applyBorder="1" applyAlignment="1">
      <alignment horizontal="center" vertical="center" wrapText="1"/>
    </xf>
    <xf numFmtId="0" fontId="62" fillId="17" borderId="0" xfId="0" applyFont="1" applyFill="1" applyBorder="1" applyAlignment="1">
      <alignment horizontal="center" vertical="center" wrapText="1"/>
    </xf>
    <xf numFmtId="0" fontId="62" fillId="18" borderId="0" xfId="0" applyFont="1" applyFill="1" applyBorder="1" applyAlignment="1">
      <alignment horizontal="center" vertical="center" wrapText="1"/>
    </xf>
    <xf numFmtId="0" fontId="63" fillId="4" borderId="0" xfId="0" applyFont="1" applyFill="1" applyBorder="1" applyAlignment="1">
      <alignment horizontal="right" vertical="center"/>
    </xf>
    <xf numFmtId="0" fontId="60" fillId="4" borderId="0" xfId="0" applyFont="1" applyFill="1" applyBorder="1" applyAlignment="1">
      <alignment vertical="center"/>
    </xf>
    <xf numFmtId="0" fontId="64" fillId="0" borderId="0" xfId="0" applyFont="1"/>
    <xf numFmtId="0" fontId="64" fillId="0" borderId="0" xfId="0" applyFont="1" applyFill="1"/>
    <xf numFmtId="2" fontId="0" fillId="0" borderId="1" xfId="0" applyNumberFormat="1" applyBorder="1"/>
    <xf numFmtId="0" fontId="0" fillId="19" borderId="1" xfId="0" applyFill="1" applyBorder="1"/>
    <xf numFmtId="0" fontId="0" fillId="0" borderId="0" xfId="0" applyFill="1" applyBorder="1"/>
    <xf numFmtId="0" fontId="0" fillId="16" borderId="1" xfId="0" applyFill="1" applyBorder="1"/>
    <xf numFmtId="0" fontId="34" fillId="16" borderId="1" xfId="0" applyFont="1" applyFill="1" applyBorder="1"/>
    <xf numFmtId="0" fontId="65" fillId="16" borderId="1" xfId="0" applyFont="1" applyFill="1" applyBorder="1"/>
    <xf numFmtId="0" fontId="66" fillId="16" borderId="1" xfId="0" applyFont="1" applyFill="1" applyBorder="1"/>
    <xf numFmtId="0" fontId="0" fillId="16" borderId="0" xfId="0" applyFill="1"/>
    <xf numFmtId="2" fontId="0" fillId="0" borderId="1" xfId="0" applyNumberFormat="1" applyFill="1" applyBorder="1"/>
    <xf numFmtId="0" fontId="64" fillId="19" borderId="1" xfId="0" applyFont="1" applyFill="1" applyBorder="1"/>
    <xf numFmtId="0" fontId="65" fillId="19" borderId="1" xfId="0" applyFont="1" applyFill="1" applyBorder="1"/>
    <xf numFmtId="0" fontId="0" fillId="19" borderId="0" xfId="0" applyFill="1"/>
    <xf numFmtId="0" fontId="55" fillId="16" borderId="1" xfId="0" applyFont="1" applyFill="1" applyBorder="1" applyAlignment="1">
      <alignment horizontal="center" vertical="center"/>
    </xf>
    <xf numFmtId="0" fontId="55" fillId="16" borderId="1" xfId="0" applyFont="1" applyFill="1" applyBorder="1" applyAlignment="1">
      <alignment horizontal="center" vertical="center" wrapText="1"/>
    </xf>
    <xf numFmtId="0" fontId="64" fillId="16" borderId="1" xfId="0" applyFont="1" applyFill="1" applyBorder="1" applyAlignment="1">
      <alignment horizontal="center" vertical="center"/>
    </xf>
    <xf numFmtId="0" fontId="64" fillId="16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3" fillId="20" borderId="1" xfId="0" applyFont="1" applyFill="1" applyBorder="1" applyAlignment="1">
      <alignment horizontal="center" vertical="center" wrapText="1"/>
    </xf>
    <xf numFmtId="43" fontId="29" fillId="0" borderId="1" xfId="429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67" fillId="14" borderId="1" xfId="0" applyFont="1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22" borderId="1" xfId="0" applyFill="1" applyBorder="1" applyAlignment="1">
      <alignment horizontal="center" vertical="center"/>
    </xf>
    <xf numFmtId="0" fontId="0" fillId="23" borderId="1" xfId="0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/>
    </xf>
    <xf numFmtId="0" fontId="65" fillId="14" borderId="1" xfId="0" applyFont="1" applyFill="1" applyBorder="1" applyAlignment="1">
      <alignment horizontal="center" vertical="center"/>
    </xf>
    <xf numFmtId="43" fontId="65" fillId="14" borderId="1" xfId="429" applyFont="1" applyFill="1" applyBorder="1" applyAlignment="1">
      <alignment horizontal="center" vertical="center"/>
    </xf>
    <xf numFmtId="2" fontId="65" fillId="14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top" wrapText="1"/>
    </xf>
    <xf numFmtId="0" fontId="68" fillId="0" borderId="1" xfId="0" applyFont="1" applyFill="1" applyBorder="1"/>
    <xf numFmtId="0" fontId="68" fillId="0" borderId="1" xfId="0" applyFont="1" applyBorder="1" applyAlignment="1">
      <alignment horizontal="center"/>
    </xf>
    <xf numFmtId="43" fontId="68" fillId="0" borderId="1" xfId="429" applyFont="1" applyBorder="1"/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justify" vertical="center" wrapText="1"/>
    </xf>
    <xf numFmtId="43" fontId="11" fillId="0" borderId="1" xfId="429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justify" vertical="center" wrapText="1"/>
    </xf>
    <xf numFmtId="0" fontId="69" fillId="0" borderId="0" xfId="0" applyFont="1" applyAlignment="1">
      <alignment horizontal="left"/>
    </xf>
    <xf numFmtId="43" fontId="70" fillId="24" borderId="1" xfId="429" applyFont="1" applyFill="1" applyBorder="1" applyAlignment="1">
      <alignment horizontal="center" vertical="center" wrapText="1"/>
    </xf>
    <xf numFmtId="0" fontId="70" fillId="25" borderId="1" xfId="0" applyFont="1" applyFill="1" applyBorder="1" applyAlignment="1">
      <alignment horizontal="justify" vertical="center" wrapText="1"/>
    </xf>
    <xf numFmtId="43" fontId="70" fillId="25" borderId="1" xfId="429" applyFont="1" applyFill="1" applyBorder="1" applyAlignment="1">
      <alignment horizontal="right" vertical="center" wrapText="1"/>
    </xf>
    <xf numFmtId="0" fontId="14" fillId="26" borderId="1" xfId="0" applyFont="1" applyFill="1" applyBorder="1" applyAlignment="1">
      <alignment horizontal="center" vertical="center" wrapText="1"/>
    </xf>
    <xf numFmtId="0" fontId="14" fillId="26" borderId="1" xfId="0" applyFont="1" applyFill="1" applyBorder="1" applyAlignment="1">
      <alignment horizontal="justify" vertical="center" wrapText="1"/>
    </xf>
    <xf numFmtId="0" fontId="14" fillId="26" borderId="1" xfId="0" applyFont="1" applyFill="1" applyBorder="1" applyAlignment="1">
      <alignment horizontal="right" vertical="center" wrapText="1"/>
    </xf>
    <xf numFmtId="43" fontId="14" fillId="26" borderId="1" xfId="429" applyFont="1" applyFill="1" applyBorder="1" applyAlignment="1">
      <alignment horizontal="righ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43" fontId="11" fillId="0" borderId="1" xfId="429" applyFont="1" applyFill="1" applyBorder="1" applyAlignment="1">
      <alignment horizontal="right" vertical="center" wrapText="1"/>
    </xf>
    <xf numFmtId="2" fontId="14" fillId="26" borderId="1" xfId="0" applyNumberFormat="1" applyFont="1" applyFill="1" applyBorder="1" applyAlignment="1">
      <alignment horizontal="right" vertical="center" wrapText="1"/>
    </xf>
    <xf numFmtId="0" fontId="11" fillId="0" borderId="1" xfId="0" applyFont="1" applyFill="1" applyBorder="1" applyAlignment="1">
      <alignment horizontal="left" vertical="center" wrapText="1"/>
    </xf>
    <xf numFmtId="43" fontId="70" fillId="25" borderId="1" xfId="429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justify" vertical="center" wrapText="1"/>
    </xf>
    <xf numFmtId="2" fontId="15" fillId="0" borderId="1" xfId="0" applyNumberFormat="1" applyFont="1" applyFill="1" applyBorder="1" applyAlignment="1">
      <alignment horizontal="right" vertical="center" wrapText="1"/>
    </xf>
    <xf numFmtId="43" fontId="15" fillId="0" borderId="1" xfId="429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horizontal="left" vertical="center" wrapText="1"/>
    </xf>
    <xf numFmtId="43" fontId="16" fillId="0" borderId="1" xfId="429" applyFont="1" applyFill="1" applyBorder="1" applyAlignment="1">
      <alignment horizontal="right" vertical="center" wrapText="1"/>
    </xf>
    <xf numFmtId="43" fontId="15" fillId="0" borderId="1" xfId="429" applyFont="1" applyFill="1" applyBorder="1" applyAlignment="1">
      <alignment horizontal="center" vertical="center" wrapText="1"/>
    </xf>
    <xf numFmtId="43" fontId="16" fillId="0" borderId="1" xfId="429" applyFont="1" applyFill="1" applyBorder="1" applyAlignment="1">
      <alignment horizontal="center" vertical="center" wrapText="1"/>
    </xf>
    <xf numFmtId="2" fontId="0" fillId="0" borderId="0" xfId="0" applyNumberFormat="1"/>
    <xf numFmtId="0" fontId="11" fillId="0" borderId="4" xfId="0" applyFont="1" applyFill="1" applyBorder="1" applyAlignment="1">
      <alignment horizontal="justify" vertical="center" wrapText="1"/>
    </xf>
    <xf numFmtId="43" fontId="70" fillId="0" borderId="6" xfId="0" applyNumberFormat="1" applyFont="1" applyFill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2" fontId="70" fillId="25" borderId="1" xfId="429" applyNumberFormat="1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justify" vertical="center" wrapText="1"/>
    </xf>
    <xf numFmtId="2" fontId="14" fillId="0" borderId="1" xfId="0" applyNumberFormat="1" applyFont="1" applyFill="1" applyBorder="1" applyAlignment="1">
      <alignment horizontal="right" vertical="center" wrapText="1"/>
    </xf>
    <xf numFmtId="43" fontId="14" fillId="0" borderId="1" xfId="429" applyFont="1" applyFill="1" applyBorder="1" applyAlignment="1">
      <alignment horizontal="right" vertical="center" wrapText="1"/>
    </xf>
    <xf numFmtId="43" fontId="11" fillId="0" borderId="1" xfId="429" applyFont="1" applyFill="1" applyBorder="1" applyAlignment="1">
      <alignment horizontal="justify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72" fillId="0" borderId="1" xfId="0" applyFont="1" applyFill="1" applyBorder="1"/>
    <xf numFmtId="0" fontId="5" fillId="0" borderId="0" xfId="269" applyFont="1" applyFill="1" applyAlignment="1">
      <alignment vertical="center" wrapText="1"/>
    </xf>
    <xf numFmtId="164" fontId="19" fillId="0" borderId="0" xfId="421" applyFont="1" applyFill="1" applyAlignment="1">
      <alignment vertical="center" wrapText="1"/>
    </xf>
    <xf numFmtId="164" fontId="5" fillId="0" borderId="0" xfId="421" applyFont="1" applyFill="1" applyAlignment="1">
      <alignment vertical="center" wrapText="1"/>
    </xf>
    <xf numFmtId="164" fontId="20" fillId="0" borderId="0" xfId="421" applyFont="1" applyFill="1"/>
    <xf numFmtId="0" fontId="21" fillId="0" borderId="0" xfId="269" applyFont="1" applyFill="1"/>
    <xf numFmtId="0" fontId="20" fillId="0" borderId="0" xfId="269" applyFont="1" applyFill="1"/>
    <xf numFmtId="0" fontId="21" fillId="0" borderId="0" xfId="269" applyFont="1" applyFill="1" applyBorder="1"/>
    <xf numFmtId="0" fontId="20" fillId="0" borderId="0" xfId="269" applyFont="1" applyFill="1" applyBorder="1"/>
    <xf numFmtId="0" fontId="5" fillId="0" borderId="0" xfId="269" applyFont="1" applyFill="1" applyBorder="1" applyAlignment="1">
      <alignment vertical="center" wrapText="1"/>
    </xf>
    <xf numFmtId="164" fontId="20" fillId="0" borderId="0" xfId="421" applyFont="1" applyFill="1" applyBorder="1"/>
    <xf numFmtId="0" fontId="10" fillId="0" borderId="8" xfId="177" applyNumberFormat="1" applyFont="1" applyBorder="1" applyAlignment="1">
      <alignment horizontal="left" vertical="center"/>
    </xf>
    <xf numFmtId="0" fontId="10" fillId="0" borderId="9" xfId="177" applyNumberFormat="1" applyFont="1" applyBorder="1" applyAlignment="1">
      <alignment horizontal="left" vertical="center"/>
    </xf>
    <xf numFmtId="0" fontId="10" fillId="0" borderId="7" xfId="177" applyNumberFormat="1" applyFont="1" applyBorder="1" applyAlignment="1">
      <alignment horizontal="left" vertical="center"/>
    </xf>
    <xf numFmtId="0" fontId="21" fillId="0" borderId="0" xfId="269" applyFont="1" applyFill="1" applyAlignment="1"/>
    <xf numFmtId="0" fontId="20" fillId="0" borderId="0" xfId="269" applyFont="1" applyFill="1" applyAlignment="1"/>
    <xf numFmtId="4" fontId="1" fillId="0" borderId="5" xfId="14" applyNumberFormat="1" applyFont="1" applyFill="1" applyBorder="1" applyAlignment="1">
      <alignment horizontal="left" vertical="center"/>
    </xf>
    <xf numFmtId="4" fontId="1" fillId="0" borderId="2" xfId="14" applyNumberFormat="1" applyFont="1" applyFill="1" applyBorder="1" applyAlignment="1">
      <alignment horizontal="left" vertical="center"/>
    </xf>
    <xf numFmtId="4" fontId="1" fillId="0" borderId="4" xfId="14" applyNumberFormat="1" applyFont="1" applyFill="1" applyBorder="1" applyAlignment="1">
      <alignment horizontal="left" vertical="center"/>
    </xf>
    <xf numFmtId="4" fontId="1" fillId="0" borderId="10" xfId="14" applyNumberFormat="1" applyFont="1" applyFill="1" applyBorder="1" applyAlignment="1">
      <alignment horizontal="left" vertical="center"/>
    </xf>
    <xf numFmtId="4" fontId="1" fillId="0" borderId="11" xfId="14" applyNumberFormat="1" applyFont="1" applyFill="1" applyBorder="1" applyAlignment="1">
      <alignment horizontal="left" vertical="center"/>
    </xf>
    <xf numFmtId="4" fontId="1" fillId="0" borderId="12" xfId="14" applyNumberFormat="1" applyFont="1" applyFill="1" applyBorder="1" applyAlignment="1">
      <alignment horizontal="left" vertical="center"/>
    </xf>
    <xf numFmtId="0" fontId="20" fillId="0" borderId="0" xfId="269" applyFont="1" applyFill="1" applyAlignment="1">
      <alignment vertical="center"/>
    </xf>
    <xf numFmtId="164" fontId="20" fillId="0" borderId="0" xfId="421" applyFont="1" applyFill="1" applyAlignment="1">
      <alignment vertical="center"/>
    </xf>
    <xf numFmtId="164" fontId="2" fillId="0" borderId="0" xfId="421" applyFont="1" applyFill="1" applyAlignment="1">
      <alignment vertical="center"/>
    </xf>
    <xf numFmtId="0" fontId="1" fillId="0" borderId="1" xfId="269" applyFont="1" applyFill="1" applyBorder="1" applyAlignment="1">
      <alignment horizontal="center" vertical="center" wrapText="1"/>
    </xf>
    <xf numFmtId="0" fontId="1" fillId="0" borderId="1" xfId="269" applyFont="1" applyFill="1" applyBorder="1" applyAlignment="1">
      <alignment vertical="center" wrapText="1"/>
    </xf>
    <xf numFmtId="43" fontId="1" fillId="0" borderId="1" xfId="421" applyNumberFormat="1" applyFont="1" applyFill="1" applyBorder="1" applyAlignment="1">
      <alignment horizontal="right" vertical="center"/>
    </xf>
    <xf numFmtId="43" fontId="7" fillId="0" borderId="1" xfId="273" applyNumberFormat="1" applyFont="1" applyFill="1" applyBorder="1" applyAlignment="1">
      <alignment horizontal="center" vertical="center" wrapText="1"/>
    </xf>
    <xf numFmtId="43" fontId="20" fillId="0" borderId="0" xfId="269" applyNumberFormat="1" applyFont="1" applyFill="1"/>
    <xf numFmtId="10" fontId="21" fillId="0" borderId="0" xfId="272" applyNumberFormat="1" applyFont="1" applyFill="1" applyAlignment="1">
      <alignment vertical="center"/>
    </xf>
    <xf numFmtId="0" fontId="1" fillId="0" borderId="5" xfId="269" applyFont="1" applyFill="1" applyBorder="1" applyAlignment="1">
      <alignment horizontal="center" vertical="center"/>
    </xf>
    <xf numFmtId="0" fontId="1" fillId="0" borderId="5" xfId="269" applyFont="1" applyFill="1" applyBorder="1" applyAlignment="1">
      <alignment vertical="center"/>
    </xf>
    <xf numFmtId="164" fontId="1" fillId="0" borderId="5" xfId="421" applyFont="1" applyFill="1" applyBorder="1" applyAlignment="1">
      <alignment horizontal="right" vertical="center"/>
    </xf>
    <xf numFmtId="43" fontId="1" fillId="0" borderId="5" xfId="421" applyNumberFormat="1" applyFont="1" applyFill="1" applyBorder="1" applyAlignment="1">
      <alignment horizontal="right" vertical="center"/>
    </xf>
    <xf numFmtId="43" fontId="21" fillId="0" borderId="1" xfId="421" applyNumberFormat="1" applyFont="1" applyFill="1" applyBorder="1" applyAlignment="1">
      <alignment horizontal="right" vertical="center"/>
    </xf>
    <xf numFmtId="0" fontId="18" fillId="0" borderId="0" xfId="269" applyFont="1" applyFill="1"/>
    <xf numFmtId="164" fontId="18" fillId="0" borderId="0" xfId="421" applyFont="1" applyFill="1"/>
    <xf numFmtId="0" fontId="17" fillId="0" borderId="0" xfId="269" applyFont="1" applyFill="1"/>
    <xf numFmtId="164" fontId="73" fillId="0" borderId="0" xfId="421" applyFont="1" applyFill="1"/>
    <xf numFmtId="0" fontId="20" fillId="0" borderId="0" xfId="269" applyFont="1" applyFill="1" applyAlignment="1">
      <alignment horizontal="center"/>
    </xf>
    <xf numFmtId="0" fontId="74" fillId="27" borderId="1" xfId="269" applyFont="1" applyFill="1" applyBorder="1" applyAlignment="1">
      <alignment horizontal="center" vertical="center" wrapText="1"/>
    </xf>
    <xf numFmtId="0" fontId="22" fillId="0" borderId="8" xfId="177" applyFont="1" applyFill="1" applyBorder="1" applyAlignment="1">
      <alignment vertical="center" wrapText="1"/>
    </xf>
    <xf numFmtId="0" fontId="22" fillId="0" borderId="10" xfId="177" applyFont="1" applyFill="1" applyBorder="1" applyAlignment="1">
      <alignment vertical="center" wrapText="1"/>
    </xf>
    <xf numFmtId="0" fontId="23" fillId="0" borderId="10" xfId="177" applyFont="1" applyFill="1" applyBorder="1" applyAlignment="1">
      <alignment vertical="center" wrapText="1"/>
    </xf>
    <xf numFmtId="0" fontId="23" fillId="0" borderId="12" xfId="177" applyFont="1" applyFill="1" applyBorder="1" applyAlignment="1">
      <alignment vertical="center" wrapText="1"/>
    </xf>
    <xf numFmtId="0" fontId="68" fillId="0" borderId="4" xfId="0" applyFont="1" applyBorder="1" applyAlignment="1">
      <alignment horizontal="center"/>
    </xf>
    <xf numFmtId="0" fontId="68" fillId="0" borderId="2" xfId="0" applyFont="1" applyBorder="1" applyAlignment="1">
      <alignment horizontal="center"/>
    </xf>
    <xf numFmtId="0" fontId="75" fillId="0" borderId="1" xfId="0" applyFont="1" applyBorder="1" applyAlignment="1">
      <alignment vertical="center"/>
    </xf>
    <xf numFmtId="0" fontId="72" fillId="0" borderId="1" xfId="0" applyFont="1" applyBorder="1" applyAlignment="1">
      <alignment vertical="center"/>
    </xf>
    <xf numFmtId="0" fontId="75" fillId="0" borderId="13" xfId="0" applyFont="1" applyBorder="1" applyAlignment="1">
      <alignment vertical="center"/>
    </xf>
    <xf numFmtId="0" fontId="76" fillId="28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55" fillId="4" borderId="1" xfId="0" applyFont="1" applyFill="1" applyBorder="1" applyAlignment="1">
      <alignment horizontal="center" vertical="center"/>
    </xf>
    <xf numFmtId="0" fontId="76" fillId="21" borderId="1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14" fillId="26" borderId="4" xfId="0" applyFont="1" applyFill="1" applyBorder="1" applyAlignment="1">
      <alignment horizontal="justify" vertical="center" wrapText="1"/>
    </xf>
    <xf numFmtId="0" fontId="77" fillId="4" borderId="0" xfId="0" applyFont="1" applyFill="1" applyAlignment="1">
      <alignment vertical="center"/>
    </xf>
    <xf numFmtId="0" fontId="55" fillId="0" borderId="0" xfId="0" applyFont="1"/>
    <xf numFmtId="0" fontId="55" fillId="0" borderId="1" xfId="0" applyFont="1" applyBorder="1"/>
    <xf numFmtId="8" fontId="0" fillId="0" borderId="0" xfId="0" applyNumberFormat="1" applyAlignment="1">
      <alignment horizontal="left"/>
    </xf>
    <xf numFmtId="0" fontId="0" fillId="0" borderId="1" xfId="0" applyFont="1" applyBorder="1"/>
    <xf numFmtId="0" fontId="40" fillId="0" borderId="0" xfId="0" applyFont="1" applyAlignment="1">
      <alignment horizontal="center" vertical="center"/>
    </xf>
    <xf numFmtId="0" fontId="55" fillId="0" borderId="1" xfId="0" applyFont="1" applyBorder="1" applyAlignment="1">
      <alignment vertical="center"/>
    </xf>
    <xf numFmtId="43" fontId="0" fillId="0" borderId="1" xfId="0" applyNumberFormat="1" applyFill="1" applyBorder="1"/>
    <xf numFmtId="0" fontId="0" fillId="0" borderId="1" xfId="0" applyNumberFormat="1" applyBorder="1"/>
    <xf numFmtId="0" fontId="52" fillId="9" borderId="1" xfId="0" applyFont="1" applyFill="1" applyBorder="1" applyAlignment="1">
      <alignment vertical="center"/>
    </xf>
    <xf numFmtId="43" fontId="51" fillId="9" borderId="1" xfId="429" applyFont="1" applyFill="1" applyBorder="1" applyAlignment="1">
      <alignment vertical="center"/>
    </xf>
    <xf numFmtId="43" fontId="55" fillId="9" borderId="1" xfId="0" applyNumberFormat="1" applyFont="1" applyFill="1" applyBorder="1" applyAlignment="1">
      <alignment vertical="center"/>
    </xf>
    <xf numFmtId="43" fontId="29" fillId="4" borderId="1" xfId="429" applyFont="1" applyFill="1" applyBorder="1" applyAlignment="1">
      <alignment horizontal="center" vertical="center"/>
    </xf>
    <xf numFmtId="43" fontId="55" fillId="4" borderId="1" xfId="429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vertical="top" wrapText="1"/>
    </xf>
    <xf numFmtId="0" fontId="5" fillId="0" borderId="9" xfId="0" applyFont="1" applyFill="1" applyBorder="1" applyAlignment="1">
      <alignment horizontal="center" vertical="top" wrapText="1"/>
    </xf>
    <xf numFmtId="0" fontId="22" fillId="0" borderId="6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vertical="top" wrapText="1"/>
    </xf>
    <xf numFmtId="0" fontId="5" fillId="0" borderId="14" xfId="0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vertical="top" wrapText="1"/>
    </xf>
    <xf numFmtId="4" fontId="5" fillId="0" borderId="0" xfId="290" applyNumberFormat="1" applyFont="1" applyFill="1" applyAlignment="1">
      <alignment horizontal="right" vertical="top" wrapText="1"/>
    </xf>
    <xf numFmtId="4" fontId="5" fillId="4" borderId="0" xfId="290" applyNumberFormat="1" applyFont="1" applyFill="1" applyAlignment="1">
      <alignment horizontal="right" vertical="top" wrapText="1"/>
    </xf>
    <xf numFmtId="4" fontId="5" fillId="0" borderId="0" xfId="290" applyNumberFormat="1" applyFont="1" applyFill="1" applyAlignment="1">
      <alignment horizontal="center" vertical="top" wrapText="1"/>
    </xf>
    <xf numFmtId="10" fontId="5" fillId="0" borderId="6" xfId="0" applyNumberFormat="1" applyFont="1" applyFill="1" applyBorder="1" applyAlignment="1">
      <alignment horizontal="center" vertical="top" wrapText="1"/>
    </xf>
    <xf numFmtId="166" fontId="24" fillId="0" borderId="6" xfId="14" applyNumberFormat="1" applyFont="1" applyFill="1" applyBorder="1" applyAlignment="1">
      <alignment vertical="top" wrapText="1"/>
    </xf>
    <xf numFmtId="166" fontId="3" fillId="0" borderId="6" xfId="14" applyNumberFormat="1" applyFont="1" applyFill="1" applyBorder="1" applyAlignment="1">
      <alignment vertical="top" wrapText="1"/>
    </xf>
    <xf numFmtId="0" fontId="0" fillId="0" borderId="0" xfId="0" applyAlignment="1">
      <alignment horizontal="center" vertical="top"/>
    </xf>
    <xf numFmtId="4" fontId="0" fillId="0" borderId="0" xfId="0" applyNumberFormat="1" applyAlignment="1">
      <alignment vertical="top"/>
    </xf>
    <xf numFmtId="0" fontId="78" fillId="0" borderId="0" xfId="0" applyFont="1" applyAlignment="1">
      <alignment vertical="top"/>
    </xf>
    <xf numFmtId="10" fontId="71" fillId="27" borderId="3" xfId="429" applyNumberFormat="1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/>
    </xf>
    <xf numFmtId="0" fontId="2" fillId="0" borderId="0" xfId="269" applyFont="1" applyFill="1" applyBorder="1" applyAlignment="1">
      <alignment vertical="center"/>
    </xf>
    <xf numFmtId="0" fontId="2" fillId="0" borderId="0" xfId="269" applyFont="1" applyFill="1" applyBorder="1" applyAlignment="1">
      <alignment horizontal="center" vertical="center"/>
    </xf>
    <xf numFmtId="43" fontId="2" fillId="0" borderId="0" xfId="269" applyNumberFormat="1" applyFont="1" applyFill="1" applyBorder="1" applyAlignment="1">
      <alignment horizontal="center" vertical="center"/>
    </xf>
    <xf numFmtId="0" fontId="2" fillId="0" borderId="4" xfId="269" applyFont="1" applyFill="1" applyBorder="1" applyAlignment="1">
      <alignment vertical="center" wrapText="1"/>
    </xf>
    <xf numFmtId="0" fontId="2" fillId="0" borderId="0" xfId="269" applyFont="1" applyFill="1" applyBorder="1" applyAlignment="1">
      <alignment horizontal="center" vertical="center" wrapText="1"/>
    </xf>
    <xf numFmtId="0" fontId="2" fillId="0" borderId="0" xfId="269" applyFont="1" applyFill="1"/>
    <xf numFmtId="43" fontId="0" fillId="0" borderId="0" xfId="0" applyNumberFormat="1" applyAlignment="1">
      <alignment vertical="top"/>
    </xf>
    <xf numFmtId="4" fontId="5" fillId="0" borderId="1" xfId="429" applyNumberFormat="1" applyFont="1" applyFill="1" applyBorder="1" applyAlignment="1">
      <alignment horizontal="right" vertical="center"/>
    </xf>
    <xf numFmtId="4" fontId="5" fillId="0" borderId="1" xfId="8" quotePrefix="1" applyNumberFormat="1" applyFont="1" applyFill="1" applyBorder="1" applyAlignment="1">
      <alignment horizontal="right" vertical="center" wrapText="1"/>
    </xf>
    <xf numFmtId="0" fontId="5" fillId="4" borderId="1" xfId="431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 wrapText="1"/>
    </xf>
    <xf numFmtId="4" fontId="5" fillId="0" borderId="1" xfId="8" applyNumberFormat="1" applyFont="1" applyFill="1" applyBorder="1" applyAlignment="1">
      <alignment horizontal="right" vertical="center" wrapText="1"/>
    </xf>
    <xf numFmtId="4" fontId="5" fillId="0" borderId="1" xfId="308" applyNumberFormat="1" applyFont="1" applyFill="1" applyBorder="1" applyAlignment="1">
      <alignment horizontal="right" vertical="center"/>
    </xf>
    <xf numFmtId="0" fontId="20" fillId="0" borderId="0" xfId="269" applyFont="1" applyFill="1" applyAlignment="1">
      <alignment horizontal="left"/>
    </xf>
    <xf numFmtId="0" fontId="2" fillId="12" borderId="1" xfId="269" applyFont="1" applyFill="1" applyBorder="1" applyAlignment="1">
      <alignment vertical="center"/>
    </xf>
    <xf numFmtId="10" fontId="2" fillId="12" borderId="1" xfId="269" applyNumberFormat="1" applyFont="1" applyFill="1" applyBorder="1" applyAlignment="1">
      <alignment horizontal="right" vertical="center"/>
    </xf>
    <xf numFmtId="0" fontId="5" fillId="4" borderId="1" xfId="431" applyNumberFormat="1" applyFont="1" applyFill="1" applyBorder="1" applyAlignment="1">
      <alignment vertical="center" wrapText="1"/>
    </xf>
    <xf numFmtId="4" fontId="5" fillId="4" borderId="1" xfId="431" applyNumberFormat="1" applyFont="1" applyFill="1" applyBorder="1" applyAlignment="1">
      <alignment horizontal="right" vertical="center"/>
    </xf>
    <xf numFmtId="4" fontId="5" fillId="0" borderId="1" xfId="8" applyNumberFormat="1" applyFont="1" applyFill="1" applyBorder="1" applyAlignment="1">
      <alignment horizontal="right" vertical="center"/>
    </xf>
    <xf numFmtId="4" fontId="5" fillId="2" borderId="1" xfId="8" applyNumberFormat="1" applyFont="1" applyFill="1" applyBorder="1" applyAlignment="1">
      <alignment vertical="center"/>
    </xf>
    <xf numFmtId="4" fontId="5" fillId="2" borderId="1" xfId="308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3" fontId="5" fillId="0" borderId="1" xfId="429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43" fontId="4" fillId="0" borderId="1" xfId="429" applyFont="1" applyFill="1" applyBorder="1" applyAlignment="1">
      <alignment horizontal="center" vertical="center" wrapText="1"/>
    </xf>
    <xf numFmtId="43" fontId="5" fillId="0" borderId="1" xfId="0" applyNumberFormat="1" applyFont="1" applyFill="1" applyBorder="1" applyAlignment="1">
      <alignment horizontal="center" vertical="center" wrapText="1"/>
    </xf>
    <xf numFmtId="0" fontId="5" fillId="0" borderId="1" xfId="431" applyNumberFormat="1" applyFont="1" applyFill="1" applyBorder="1" applyAlignment="1">
      <alignment horizontal="center" vertical="center" wrapText="1"/>
    </xf>
    <xf numFmtId="4" fontId="5" fillId="0" borderId="1" xfId="431" applyNumberFormat="1" applyFont="1" applyFill="1" applyBorder="1" applyAlignment="1">
      <alignment horizontal="right" vertical="center"/>
    </xf>
    <xf numFmtId="0" fontId="5" fillId="0" borderId="1" xfId="431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left" vertical="center" wrapText="1"/>
    </xf>
    <xf numFmtId="43" fontId="5" fillId="4" borderId="1" xfId="429" applyFont="1" applyFill="1" applyBorder="1" applyAlignment="1">
      <alignment vertical="center" wrapText="1"/>
    </xf>
    <xf numFmtId="0" fontId="4" fillId="0" borderId="1" xfId="431" applyNumberFormat="1" applyFont="1" applyFill="1" applyBorder="1" applyAlignment="1">
      <alignment vertical="center" wrapText="1"/>
    </xf>
    <xf numFmtId="0" fontId="5" fillId="0" borderId="1" xfId="431" applyNumberFormat="1" applyFont="1" applyFill="1" applyBorder="1" applyAlignment="1">
      <alignment horizontal="left" vertical="center" wrapText="1"/>
    </xf>
    <xf numFmtId="43" fontId="5" fillId="0" borderId="1" xfId="431" applyNumberFormat="1" applyFont="1" applyFill="1" applyBorder="1" applyAlignment="1">
      <alignment vertical="center"/>
    </xf>
    <xf numFmtId="2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" xfId="431" applyNumberFormat="1" applyFont="1" applyFill="1" applyBorder="1" applyAlignment="1">
      <alignment vertical="center" wrapText="1"/>
    </xf>
    <xf numFmtId="0" fontId="4" fillId="0" borderId="1" xfId="431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justify" vertical="center" wrapText="1"/>
    </xf>
    <xf numFmtId="43" fontId="5" fillId="0" borderId="1" xfId="13" applyNumberFormat="1" applyFont="1" applyFill="1" applyBorder="1" applyAlignment="1">
      <alignment horizontal="center" vertical="center"/>
    </xf>
    <xf numFmtId="43" fontId="5" fillId="0" borderId="1" xfId="436" applyNumberFormat="1" applyFont="1" applyFill="1" applyBorder="1" applyAlignment="1">
      <alignment horizontal="right" vertical="center"/>
    </xf>
    <xf numFmtId="43" fontId="5" fillId="0" borderId="1" xfId="430" applyNumberFormat="1" applyFont="1" applyFill="1" applyBorder="1" applyAlignment="1">
      <alignment vertical="center"/>
    </xf>
    <xf numFmtId="0" fontId="5" fillId="0" borderId="1" xfId="13" applyFont="1" applyFill="1" applyBorder="1" applyAlignment="1" applyProtection="1">
      <alignment horizontal="center" vertical="center"/>
      <protection locked="0"/>
    </xf>
    <xf numFmtId="43" fontId="5" fillId="0" borderId="1" xfId="13" applyNumberFormat="1" applyFont="1" applyFill="1" applyBorder="1" applyAlignment="1" applyProtection="1">
      <alignment horizontal="center" vertical="center"/>
      <protection locked="0"/>
    </xf>
    <xf numFmtId="43" fontId="5" fillId="0" borderId="1" xfId="431" applyNumberFormat="1" applyFont="1" applyFill="1" applyBorder="1" applyAlignment="1">
      <alignment horizontal="center" vertical="center"/>
    </xf>
    <xf numFmtId="0" fontId="5" fillId="0" borderId="1" xfId="13" applyFont="1" applyFill="1" applyBorder="1" applyAlignment="1">
      <alignment horizontal="justify" vertical="center" wrapText="1"/>
    </xf>
    <xf numFmtId="49" fontId="5" fillId="0" borderId="1" xfId="13" applyNumberFormat="1" applyFont="1" applyFill="1" applyBorder="1" applyAlignment="1">
      <alignment horizontal="justify" vertical="center" wrapText="1"/>
    </xf>
    <xf numFmtId="0" fontId="5" fillId="0" borderId="1" xfId="13" applyFont="1" applyFill="1" applyBorder="1" applyAlignment="1" applyProtection="1">
      <alignment horizontal="center" vertical="center"/>
      <protection hidden="1"/>
    </xf>
    <xf numFmtId="0" fontId="5" fillId="0" borderId="1" xfId="13" quotePrefix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3" fontId="5" fillId="0" borderId="1" xfId="429" applyFont="1" applyFill="1" applyBorder="1" applyAlignment="1">
      <alignment horizontal="right" vertical="center"/>
    </xf>
    <xf numFmtId="43" fontId="5" fillId="0" borderId="1" xfId="429" quotePrefix="1" applyFont="1" applyFill="1" applyBorder="1" applyAlignment="1">
      <alignment horizontal="right" vertical="center" wrapText="1"/>
    </xf>
    <xf numFmtId="0" fontId="5" fillId="0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Fill="1" applyBorder="1" applyAlignment="1" applyProtection="1">
      <alignment horizontal="center" vertical="center"/>
      <protection locked="0"/>
    </xf>
    <xf numFmtId="43" fontId="5" fillId="0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14" applyFont="1" applyFill="1" applyBorder="1" applyAlignment="1">
      <alignment vertical="center" wrapText="1"/>
    </xf>
    <xf numFmtId="0" fontId="5" fillId="0" borderId="1" xfId="0" quotePrefix="1" applyFont="1" applyFill="1" applyBorder="1" applyAlignment="1" applyProtection="1">
      <alignment horizontal="left" vertical="center" wrapText="1"/>
      <protection locked="0"/>
    </xf>
    <xf numFmtId="0" fontId="5" fillId="0" borderId="1" xfId="0" quotePrefix="1" applyFont="1" applyFill="1" applyBorder="1" applyAlignment="1" applyProtection="1">
      <alignment horizontal="left" vertical="center"/>
      <protection locked="0"/>
    </xf>
    <xf numFmtId="43" fontId="5" fillId="0" borderId="1" xfId="0" applyNumberFormat="1" applyFont="1" applyFill="1" applyBorder="1" applyAlignment="1">
      <alignment horizontal="center" vertical="center"/>
    </xf>
    <xf numFmtId="43" fontId="5" fillId="0" borderId="1" xfId="429" applyNumberFormat="1" applyFont="1" applyFill="1" applyBorder="1" applyAlignment="1">
      <alignment horizontal="right" vertical="center"/>
    </xf>
    <xf numFmtId="4" fontId="5" fillId="0" borderId="1" xfId="271" applyNumberFormat="1" applyFont="1" applyFill="1" applyBorder="1" applyAlignment="1">
      <alignment horizontal="right" vertical="center"/>
    </xf>
    <xf numFmtId="0" fontId="4" fillId="0" borderId="1" xfId="8" applyFont="1" applyFill="1" applyBorder="1" applyAlignment="1">
      <alignment vertical="center" wrapText="1"/>
    </xf>
    <xf numFmtId="0" fontId="4" fillId="0" borderId="1" xfId="8" applyFont="1" applyFill="1" applyBorder="1" applyAlignment="1">
      <alignment horizontal="center" vertical="center" wrapText="1"/>
    </xf>
    <xf numFmtId="0" fontId="4" fillId="0" borderId="1" xfId="8" applyFont="1" applyFill="1" applyBorder="1" applyAlignment="1">
      <alignment horizontal="left" vertical="center" wrapText="1"/>
    </xf>
    <xf numFmtId="0" fontId="4" fillId="29" borderId="1" xfId="0" applyNumberFormat="1" applyFont="1" applyFill="1" applyBorder="1" applyAlignment="1">
      <alignment horizontal="left" vertical="center" wrapText="1"/>
    </xf>
    <xf numFmtId="0" fontId="5" fillId="29" borderId="1" xfId="0" applyNumberFormat="1" applyFont="1" applyFill="1" applyBorder="1" applyAlignment="1">
      <alignment horizontal="center" vertical="center" wrapText="1"/>
    </xf>
    <xf numFmtId="4" fontId="5" fillId="29" borderId="1" xfId="0" applyNumberFormat="1" applyFont="1" applyFill="1" applyBorder="1" applyAlignment="1">
      <alignment horizontal="right" vertical="center"/>
    </xf>
    <xf numFmtId="4" fontId="4" fillId="29" borderId="1" xfId="0" applyNumberFormat="1" applyFont="1" applyFill="1" applyBorder="1" applyAlignment="1">
      <alignment horizontal="right" vertical="center"/>
    </xf>
    <xf numFmtId="0" fontId="5" fillId="4" borderId="1" xfId="0" applyNumberFormat="1" applyFont="1" applyFill="1" applyBorder="1" applyAlignment="1">
      <alignment horizontal="center" vertical="center" wrapText="1"/>
    </xf>
    <xf numFmtId="4" fontId="5" fillId="4" borderId="1" xfId="0" applyNumberFormat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4" fontId="5" fillId="0" borderId="1" xfId="0" applyNumberFormat="1" applyFont="1" applyFill="1" applyBorder="1" applyAlignment="1">
      <alignment horizontal="right" vertical="center"/>
    </xf>
    <xf numFmtId="0" fontId="5" fillId="30" borderId="1" xfId="0" applyFont="1" applyFill="1" applyBorder="1" applyAlignment="1">
      <alignment vertical="center" wrapText="1"/>
    </xf>
    <xf numFmtId="43" fontId="5" fillId="0" borderId="1" xfId="0" applyNumberFormat="1" applyFont="1" applyFill="1" applyBorder="1" applyAlignment="1">
      <alignment horizontal="right" vertical="center"/>
    </xf>
    <xf numFmtId="43" fontId="5" fillId="0" borderId="1" xfId="429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3" fontId="5" fillId="0" borderId="1" xfId="429" applyFont="1" applyBorder="1" applyAlignment="1">
      <alignment vertical="center"/>
    </xf>
    <xf numFmtId="0" fontId="5" fillId="0" borderId="1" xfId="13" applyFont="1" applyFill="1" applyBorder="1" applyAlignment="1">
      <alignment vertical="center" wrapText="1"/>
    </xf>
    <xf numFmtId="43" fontId="5" fillId="0" borderId="1" xfId="0" applyNumberFormat="1" applyFont="1" applyFill="1" applyBorder="1" applyAlignment="1">
      <alignment vertical="center"/>
    </xf>
    <xf numFmtId="0" fontId="5" fillId="0" borderId="1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4" fillId="29" borderId="15" xfId="0" applyNumberFormat="1" applyFont="1" applyFill="1" applyBorder="1" applyAlignment="1">
      <alignment horizontal="center" vertical="center" wrapText="1"/>
    </xf>
    <xf numFmtId="4" fontId="5" fillId="29" borderId="15" xfId="0" applyNumberFormat="1" applyFont="1" applyFill="1" applyBorder="1" applyAlignment="1">
      <alignment horizontal="center" vertical="center"/>
    </xf>
    <xf numFmtId="4" fontId="5" fillId="29" borderId="15" xfId="0" applyNumberFormat="1" applyFont="1" applyFill="1" applyBorder="1" applyAlignment="1">
      <alignment horizontal="right" vertical="center"/>
    </xf>
    <xf numFmtId="4" fontId="5" fillId="29" borderId="16" xfId="0" applyNumberFormat="1" applyFont="1" applyFill="1" applyBorder="1" applyAlignment="1">
      <alignment horizontal="right" vertical="center"/>
    </xf>
    <xf numFmtId="4" fontId="4" fillId="29" borderId="17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43" fontId="2" fillId="12" borderId="1" xfId="421" applyNumberFormat="1" applyFont="1" applyFill="1" applyBorder="1" applyAlignment="1">
      <alignment horizontal="right" vertical="center"/>
    </xf>
    <xf numFmtId="10" fontId="2" fillId="12" borderId="1" xfId="273" applyNumberFormat="1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4" fontId="5" fillId="0" borderId="0" xfId="290" applyNumberFormat="1" applyFont="1" applyFill="1" applyAlignment="1">
      <alignment horizontal="right" vertical="center" wrapText="1"/>
    </xf>
    <xf numFmtId="4" fontId="5" fillId="4" borderId="0" xfId="290" applyNumberFormat="1" applyFont="1" applyFill="1" applyAlignment="1">
      <alignment horizontal="right" vertical="center" wrapText="1"/>
    </xf>
    <xf numFmtId="4" fontId="5" fillId="0" borderId="0" xfId="290" applyNumberFormat="1" applyFont="1" applyFill="1" applyAlignment="1">
      <alignment horizontal="center" vertical="center" wrapText="1"/>
    </xf>
    <xf numFmtId="10" fontId="5" fillId="0" borderId="0" xfId="0" applyNumberFormat="1" applyFont="1" applyFill="1" applyAlignment="1">
      <alignment horizontal="center" vertical="center" wrapText="1"/>
    </xf>
    <xf numFmtId="166" fontId="24" fillId="0" borderId="0" xfId="14" applyNumberFormat="1" applyFont="1" applyFill="1" applyBorder="1" applyAlignment="1">
      <alignment vertical="center" wrapText="1"/>
    </xf>
    <xf numFmtId="166" fontId="3" fillId="0" borderId="0" xfId="14" applyNumberFormat="1" applyFont="1" applyFill="1" applyBorder="1" applyAlignment="1">
      <alignment vertical="center" wrapText="1"/>
    </xf>
    <xf numFmtId="4" fontId="5" fillId="0" borderId="0" xfId="14" applyNumberFormat="1" applyFont="1" applyFill="1" applyBorder="1" applyAlignment="1">
      <alignment horizontal="right" vertical="center" wrapText="1"/>
    </xf>
    <xf numFmtId="4" fontId="10" fillId="4" borderId="0" xfId="0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10" fillId="0" borderId="0" xfId="0" applyNumberFormat="1" applyFont="1" applyAlignment="1">
      <alignment horizontal="center" vertical="center" wrapText="1"/>
    </xf>
    <xf numFmtId="4" fontId="10" fillId="0" borderId="0" xfId="0" applyNumberFormat="1" applyFont="1" applyAlignment="1">
      <alignment horizontal="right" vertical="center" wrapText="1"/>
    </xf>
    <xf numFmtId="4" fontId="10" fillId="4" borderId="0" xfId="0" applyNumberFormat="1" applyFont="1" applyFill="1" applyAlignment="1">
      <alignment horizontal="right" vertical="center" wrapText="1"/>
    </xf>
    <xf numFmtId="0" fontId="80" fillId="4" borderId="0" xfId="0" applyFont="1" applyFill="1" applyBorder="1" applyAlignment="1">
      <alignment vertical="top" wrapText="1"/>
    </xf>
    <xf numFmtId="2" fontId="80" fillId="4" borderId="0" xfId="0" applyNumberFormat="1" applyFont="1" applyFill="1" applyBorder="1" applyAlignment="1">
      <alignment horizontal="center" vertical="top" wrapText="1"/>
    </xf>
    <xf numFmtId="2" fontId="0" fillId="4" borderId="0" xfId="0" applyNumberFormat="1" applyFill="1" applyBorder="1"/>
    <xf numFmtId="0" fontId="0" fillId="4" borderId="0" xfId="0" applyFill="1" applyBorder="1"/>
    <xf numFmtId="0" fontId="79" fillId="4" borderId="0" xfId="0" applyFont="1" applyFill="1" applyBorder="1" applyAlignment="1">
      <alignment vertical="top" wrapText="1"/>
    </xf>
    <xf numFmtId="2" fontId="79" fillId="4" borderId="0" xfId="0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justify"/>
    </xf>
    <xf numFmtId="0" fontId="64" fillId="4" borderId="0" xfId="0" applyFont="1" applyFill="1" applyBorder="1" applyAlignment="1">
      <alignment horizontal="right"/>
    </xf>
    <xf numFmtId="2" fontId="64" fillId="4" borderId="0" xfId="0" applyNumberFormat="1" applyFont="1" applyFill="1" applyBorder="1" applyAlignment="1">
      <alignment horizontal="left"/>
    </xf>
    <xf numFmtId="0" fontId="0" fillId="4" borderId="0" xfId="0" applyFill="1" applyBorder="1" applyAlignment="1">
      <alignment horizontal="right"/>
    </xf>
    <xf numFmtId="2" fontId="0" fillId="4" borderId="0" xfId="0" applyNumberFormat="1" applyFill="1" applyBorder="1" applyAlignment="1">
      <alignment horizontal="left"/>
    </xf>
    <xf numFmtId="0" fontId="0" fillId="29" borderId="18" xfId="0" applyFill="1" applyBorder="1"/>
    <xf numFmtId="2" fontId="64" fillId="29" borderId="15" xfId="0" applyNumberFormat="1" applyFont="1" applyFill="1" applyBorder="1" applyAlignment="1">
      <alignment horizontal="right"/>
    </xf>
    <xf numFmtId="2" fontId="64" fillId="29" borderId="15" xfId="0" applyNumberFormat="1" applyFont="1" applyFill="1" applyBorder="1" applyAlignment="1">
      <alignment horizontal="left"/>
    </xf>
    <xf numFmtId="0" fontId="0" fillId="29" borderId="15" xfId="0" applyFill="1" applyBorder="1"/>
    <xf numFmtId="0" fontId="0" fillId="29" borderId="19" xfId="0" applyFill="1" applyBorder="1"/>
    <xf numFmtId="0" fontId="30" fillId="0" borderId="0" xfId="198" applyFont="1"/>
    <xf numFmtId="0" fontId="82" fillId="0" borderId="10" xfId="198" applyFont="1" applyFill="1" applyBorder="1" applyAlignment="1">
      <alignment horizontal="center" vertical="center"/>
    </xf>
    <xf numFmtId="0" fontId="82" fillId="29" borderId="20" xfId="198" applyFont="1" applyFill="1" applyBorder="1" applyAlignment="1">
      <alignment horizontal="center" vertical="center"/>
    </xf>
    <xf numFmtId="0" fontId="82" fillId="29" borderId="21" xfId="198" applyFont="1" applyFill="1" applyBorder="1" applyAlignment="1">
      <alignment horizontal="center" vertical="center"/>
    </xf>
    <xf numFmtId="0" fontId="30" fillId="0" borderId="22" xfId="198" applyFont="1" applyBorder="1" applyAlignment="1">
      <alignment horizontal="center"/>
    </xf>
    <xf numFmtId="2" fontId="30" fillId="0" borderId="1" xfId="198" applyNumberFormat="1" applyFont="1" applyBorder="1" applyAlignment="1">
      <alignment horizontal="center"/>
    </xf>
    <xf numFmtId="2" fontId="30" fillId="0" borderId="23" xfId="198" applyNumberFormat="1" applyFont="1" applyBorder="1" applyAlignment="1">
      <alignment horizontal="center"/>
    </xf>
    <xf numFmtId="0" fontId="30" fillId="0" borderId="20" xfId="198" applyFont="1" applyBorder="1" applyAlignment="1">
      <alignment horizontal="center"/>
    </xf>
    <xf numFmtId="2" fontId="30" fillId="0" borderId="3" xfId="198" applyNumberFormat="1" applyFont="1" applyBorder="1" applyAlignment="1">
      <alignment horizontal="center"/>
    </xf>
    <xf numFmtId="2" fontId="30" fillId="0" borderId="21" xfId="198" applyNumberFormat="1" applyFont="1" applyBorder="1" applyAlignment="1">
      <alignment horizontal="center"/>
    </xf>
    <xf numFmtId="0" fontId="34" fillId="0" borderId="24" xfId="198" applyFont="1" applyBorder="1" applyAlignment="1">
      <alignment horizontal="center"/>
    </xf>
    <xf numFmtId="2" fontId="34" fillId="0" borderId="17" xfId="198" applyNumberFormat="1" applyFont="1" applyBorder="1" applyAlignment="1">
      <alignment horizontal="center"/>
    </xf>
    <xf numFmtId="2" fontId="34" fillId="0" borderId="25" xfId="198" applyNumberFormat="1" applyFont="1" applyBorder="1" applyAlignment="1">
      <alignment horizontal="center"/>
    </xf>
    <xf numFmtId="2" fontId="30" fillId="0" borderId="1" xfId="198" applyNumberFormat="1" applyFont="1" applyBorder="1" applyAlignment="1">
      <alignment horizontal="center" vertical="center"/>
    </xf>
    <xf numFmtId="2" fontId="30" fillId="0" borderId="23" xfId="198" applyNumberFormat="1" applyFont="1" applyBorder="1" applyAlignment="1">
      <alignment horizontal="center" vertical="center"/>
    </xf>
    <xf numFmtId="0" fontId="34" fillId="0" borderId="26" xfId="198" applyFont="1" applyBorder="1" applyAlignment="1">
      <alignment horizontal="center"/>
    </xf>
    <xf numFmtId="2" fontId="34" fillId="0" borderId="27" xfId="198" applyNumberFormat="1" applyFont="1" applyBorder="1" applyAlignment="1">
      <alignment horizontal="center"/>
    </xf>
    <xf numFmtId="2" fontId="34" fillId="0" borderId="28" xfId="198" applyNumberFormat="1" applyFont="1" applyBorder="1" applyAlignment="1">
      <alignment horizontal="center"/>
    </xf>
    <xf numFmtId="2" fontId="82" fillId="29" borderId="1" xfId="198" applyNumberFormat="1" applyFont="1" applyFill="1" applyBorder="1" applyAlignment="1">
      <alignment horizontal="center"/>
    </xf>
    <xf numFmtId="2" fontId="82" fillId="29" borderId="23" xfId="198" applyNumberFormat="1" applyFont="1" applyFill="1" applyBorder="1" applyAlignment="1">
      <alignment horizontal="center"/>
    </xf>
    <xf numFmtId="168" fontId="20" fillId="0" borderId="0" xfId="269" applyNumberFormat="1" applyFont="1" applyFill="1"/>
    <xf numFmtId="166" fontId="83" fillId="27" borderId="4" xfId="156" applyNumberFormat="1" applyFont="1" applyFill="1" applyBorder="1" applyAlignment="1">
      <alignment vertical="center" wrapText="1"/>
    </xf>
    <xf numFmtId="166" fontId="83" fillId="27" borderId="5" xfId="156" applyNumberFormat="1" applyFont="1" applyFill="1" applyBorder="1" applyAlignment="1">
      <alignment vertical="center" wrapText="1"/>
    </xf>
    <xf numFmtId="0" fontId="2" fillId="0" borderId="11" xfId="269" applyFont="1" applyFill="1" applyBorder="1" applyAlignment="1">
      <alignment vertical="center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center"/>
    </xf>
    <xf numFmtId="43" fontId="55" fillId="0" borderId="1" xfId="429" applyFont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5" fillId="2" borderId="2" xfId="8" applyFont="1" applyFill="1" applyBorder="1" applyAlignment="1">
      <alignment horizontal="center" vertical="center" wrapText="1"/>
    </xf>
    <xf numFmtId="0" fontId="68" fillId="30" borderId="1" xfId="0" applyFont="1" applyFill="1" applyBorder="1" applyAlignment="1">
      <alignment wrapText="1"/>
    </xf>
    <xf numFmtId="49" fontId="21" fillId="0" borderId="0" xfId="421" applyNumberFormat="1" applyFont="1" applyFill="1"/>
    <xf numFmtId="10" fontId="1" fillId="0" borderId="1" xfId="421" applyNumberFormat="1" applyFont="1" applyFill="1" applyBorder="1" applyAlignment="1">
      <alignment horizontal="center" vertical="center"/>
    </xf>
    <xf numFmtId="4" fontId="55" fillId="0" borderId="0" xfId="0" applyNumberFormat="1" applyFont="1" applyAlignment="1">
      <alignment horizontal="center" vertical="top"/>
    </xf>
    <xf numFmtId="164" fontId="20" fillId="0" borderId="1" xfId="421" applyFont="1" applyFill="1" applyBorder="1"/>
    <xf numFmtId="10" fontId="20" fillId="0" borderId="1" xfId="272" applyNumberFormat="1" applyFont="1" applyFill="1" applyBorder="1" applyAlignment="1">
      <alignment horizontal="center"/>
    </xf>
    <xf numFmtId="164" fontId="21" fillId="0" borderId="1" xfId="421" applyFont="1" applyFill="1" applyBorder="1"/>
    <xf numFmtId="0" fontId="20" fillId="0" borderId="1" xfId="269" applyFont="1" applyFill="1" applyBorder="1" applyAlignment="1">
      <alignment horizontal="center"/>
    </xf>
    <xf numFmtId="0" fontId="21" fillId="0" borderId="1" xfId="269" applyFont="1" applyFill="1" applyBorder="1" applyAlignment="1">
      <alignment horizontal="center"/>
    </xf>
    <xf numFmtId="49" fontId="21" fillId="0" borderId="1" xfId="421" applyNumberFormat="1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justify" vertical="center" wrapText="1"/>
    </xf>
    <xf numFmtId="0" fontId="4" fillId="0" borderId="13" xfId="0" applyFont="1" applyFill="1" applyBorder="1" applyAlignment="1">
      <alignment horizontal="center" vertical="center"/>
    </xf>
    <xf numFmtId="0" fontId="68" fillId="0" borderId="1" xfId="0" applyFont="1" applyBorder="1"/>
    <xf numFmtId="0" fontId="68" fillId="0" borderId="1" xfId="0" applyFont="1" applyBorder="1" applyAlignment="1">
      <alignment horizontal="justify" wrapText="1"/>
    </xf>
    <xf numFmtId="0" fontId="69" fillId="0" borderId="1" xfId="0" applyFont="1" applyBorder="1" applyAlignment="1">
      <alignment horizontal="justify" wrapText="1"/>
    </xf>
    <xf numFmtId="0" fontId="5" fillId="0" borderId="2" xfId="0" applyFont="1" applyBorder="1" applyAlignment="1">
      <alignment horizontal="center" vertical="center"/>
    </xf>
    <xf numFmtId="0" fontId="4" fillId="0" borderId="3" xfId="0" applyFont="1" applyFill="1" applyBorder="1" applyAlignment="1">
      <alignment vertical="center"/>
    </xf>
    <xf numFmtId="0" fontId="5" fillId="0" borderId="13" xfId="0" applyFont="1" applyFill="1" applyBorder="1" applyAlignment="1">
      <alignment vertical="center"/>
    </xf>
    <xf numFmtId="0" fontId="69" fillId="0" borderId="1" xfId="0" applyFont="1" applyBorder="1"/>
    <xf numFmtId="43" fontId="5" fillId="0" borderId="2" xfId="42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2" xfId="8" applyFont="1" applyFill="1" applyBorder="1" applyAlignment="1">
      <alignment horizontal="center" vertical="center" wrapText="1"/>
    </xf>
    <xf numFmtId="0" fontId="4" fillId="0" borderId="3" xfId="8" applyFont="1" applyFill="1" applyBorder="1" applyAlignment="1">
      <alignment vertical="center" wrapText="1"/>
    </xf>
    <xf numFmtId="0" fontId="52" fillId="0" borderId="1" xfId="0" applyFont="1" applyFill="1" applyBorder="1"/>
    <xf numFmtId="0" fontId="84" fillId="0" borderId="1" xfId="0" applyFont="1" applyBorder="1" applyAlignment="1">
      <alignment horizontal="center"/>
    </xf>
    <xf numFmtId="0" fontId="5" fillId="0" borderId="3" xfId="0" applyFont="1" applyFill="1" applyBorder="1" applyAlignment="1">
      <alignment vertical="center" wrapText="1"/>
    </xf>
    <xf numFmtId="0" fontId="68" fillId="0" borderId="1" xfId="0" applyFont="1" applyBorder="1" applyAlignment="1">
      <alignment wrapText="1"/>
    </xf>
    <xf numFmtId="0" fontId="4" fillId="29" borderId="4" xfId="0" quotePrefix="1" applyNumberFormat="1" applyFont="1" applyFill="1" applyBorder="1" applyAlignment="1">
      <alignment horizontal="center" vertical="center" wrapText="1"/>
    </xf>
    <xf numFmtId="0" fontId="5" fillId="4" borderId="4" xfId="0" quotePrefix="1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5" fillId="4" borderId="4" xfId="431" applyNumberFormat="1" applyFont="1" applyFill="1" applyBorder="1" applyAlignment="1">
      <alignment horizontal="center" vertical="center" wrapText="1"/>
    </xf>
    <xf numFmtId="0" fontId="5" fillId="4" borderId="4" xfId="431" applyNumberFormat="1" applyFont="1" applyFill="1" applyBorder="1" applyAlignment="1">
      <alignment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0" fontId="5" fillId="0" borderId="4" xfId="8" applyFont="1" applyFill="1" applyBorder="1" applyAlignment="1">
      <alignment horizontal="center" vertical="center"/>
    </xf>
    <xf numFmtId="0" fontId="4" fillId="0" borderId="4" xfId="8" applyFont="1" applyFill="1" applyBorder="1" applyAlignment="1">
      <alignment horizontal="center" vertical="center"/>
    </xf>
    <xf numFmtId="0" fontId="4" fillId="0" borderId="4" xfId="8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/>
    </xf>
    <xf numFmtId="0" fontId="4" fillId="29" borderId="2" xfId="0" applyNumberFormat="1" applyFont="1" applyFill="1" applyBorder="1" applyAlignment="1">
      <alignment horizontal="center" vertical="center" wrapText="1"/>
    </xf>
    <xf numFmtId="0" fontId="5" fillId="4" borderId="2" xfId="431" applyNumberFormat="1" applyFont="1" applyFill="1" applyBorder="1" applyAlignment="1">
      <alignment horizontal="center" vertical="center" wrapText="1"/>
    </xf>
    <xf numFmtId="0" fontId="5" fillId="2" borderId="2" xfId="8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431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quotePrefix="1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9" fontId="5" fillId="0" borderId="2" xfId="25" applyNumberFormat="1" applyFont="1" applyFill="1" applyBorder="1" applyAlignment="1" applyProtection="1">
      <alignment horizontal="center" vertical="center" wrapText="1"/>
      <protection hidden="1"/>
    </xf>
    <xf numFmtId="49" fontId="5" fillId="0" borderId="2" xfId="0" applyNumberFormat="1" applyFont="1" applyFill="1" applyBorder="1" applyAlignment="1">
      <alignment horizontal="center" vertical="center" wrapText="1"/>
    </xf>
    <xf numFmtId="49" fontId="5" fillId="0" borderId="2" xfId="154" applyNumberFormat="1" applyFont="1" applyFill="1" applyBorder="1" applyAlignment="1" applyProtection="1">
      <alignment horizontal="center" vertical="center" wrapText="1"/>
      <protection hidden="1"/>
    </xf>
    <xf numFmtId="0" fontId="4" fillId="0" borderId="2" xfId="8" applyFont="1" applyFill="1" applyBorder="1" applyAlignment="1">
      <alignment horizontal="center" vertical="center" wrapText="1"/>
    </xf>
    <xf numFmtId="0" fontId="5" fillId="0" borderId="5" xfId="8" applyFont="1" applyFill="1" applyBorder="1" applyAlignment="1">
      <alignment horizontal="center" vertical="center" wrapText="1"/>
    </xf>
    <xf numFmtId="0" fontId="69" fillId="29" borderId="1" xfId="0" applyFont="1" applyFill="1" applyBorder="1" applyAlignment="1">
      <alignment horizontal="center" vertical="center" wrapText="1"/>
    </xf>
    <xf numFmtId="0" fontId="68" fillId="30" borderId="1" xfId="0" applyFont="1" applyFill="1" applyBorder="1" applyAlignment="1">
      <alignment horizontal="center" vertical="center" wrapText="1"/>
    </xf>
    <xf numFmtId="0" fontId="68" fillId="30" borderId="1" xfId="0" applyFont="1" applyFill="1" applyBorder="1" applyAlignment="1">
      <alignment horizontal="center" vertical="center"/>
    </xf>
    <xf numFmtId="0" fontId="69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/>
    </xf>
    <xf numFmtId="4" fontId="85" fillId="0" borderId="0" xfId="0" applyNumberFormat="1" applyFont="1"/>
    <xf numFmtId="0" fontId="55" fillId="31" borderId="1" xfId="0" applyFont="1" applyFill="1" applyBorder="1" applyAlignment="1">
      <alignment horizontal="center" vertical="center"/>
    </xf>
    <xf numFmtId="4" fontId="86" fillId="31" borderId="1" xfId="0" applyNumberFormat="1" applyFont="1" applyFill="1" applyBorder="1" applyAlignment="1">
      <alignment horizontal="center" vertical="center"/>
    </xf>
    <xf numFmtId="10" fontId="2" fillId="12" borderId="1" xfId="272" applyNumberFormat="1" applyFont="1" applyFill="1" applyBorder="1" applyAlignment="1">
      <alignment horizontal="right" vertical="center"/>
    </xf>
    <xf numFmtId="10" fontId="21" fillId="0" borderId="1" xfId="272" applyNumberFormat="1" applyFont="1" applyFill="1" applyBorder="1" applyAlignment="1">
      <alignment horizontal="center"/>
    </xf>
    <xf numFmtId="43" fontId="29" fillId="0" borderId="0" xfId="429" applyFont="1" applyAlignment="1">
      <alignment vertical="center"/>
    </xf>
    <xf numFmtId="0" fontId="68" fillId="0" borderId="1" xfId="0" applyNumberFormat="1" applyFont="1" applyBorder="1" applyAlignment="1">
      <alignment wrapText="1"/>
    </xf>
    <xf numFmtId="0" fontId="68" fillId="0" borderId="1" xfId="0" applyFont="1" applyBorder="1" applyAlignment="1"/>
    <xf numFmtId="0" fontId="69" fillId="0" borderId="1" xfId="0" applyFont="1" applyBorder="1" applyAlignment="1"/>
    <xf numFmtId="0" fontId="68" fillId="0" borderId="1" xfId="0" applyFont="1" applyFill="1" applyBorder="1" applyAlignment="1">
      <alignment horizontal="center" vertical="center"/>
    </xf>
    <xf numFmtId="0" fontId="5" fillId="0" borderId="2" xfId="8" applyFont="1" applyFill="1" applyBorder="1" applyAlignment="1">
      <alignment horizontal="center" vertical="center"/>
    </xf>
    <xf numFmtId="0" fontId="5" fillId="0" borderId="1" xfId="8" applyFont="1" applyFill="1" applyBorder="1" applyAlignment="1">
      <alignment horizontal="left" vertical="center" wrapText="1"/>
    </xf>
    <xf numFmtId="4" fontId="5" fillId="0" borderId="1" xfId="8" applyNumberFormat="1" applyFont="1" applyFill="1" applyBorder="1" applyAlignment="1">
      <alignment vertical="center"/>
    </xf>
    <xf numFmtId="4" fontId="5" fillId="0" borderId="1" xfId="308" applyNumberFormat="1" applyFont="1" applyFill="1" applyBorder="1" applyAlignment="1">
      <alignment vertical="center"/>
    </xf>
    <xf numFmtId="0" fontId="68" fillId="0" borderId="1" xfId="0" applyFont="1" applyFill="1" applyBorder="1" applyAlignment="1">
      <alignment horizontal="center" vertical="center" wrapText="1"/>
    </xf>
    <xf numFmtId="43" fontId="18" fillId="0" borderId="0" xfId="269" applyNumberFormat="1" applyFont="1" applyFill="1"/>
    <xf numFmtId="0" fontId="2" fillId="0" borderId="1" xfId="269" applyFont="1" applyFill="1" applyBorder="1" applyAlignment="1">
      <alignment vertical="center"/>
    </xf>
    <xf numFmtId="10" fontId="2" fillId="0" borderId="1" xfId="269" applyNumberFormat="1" applyFont="1" applyFill="1" applyBorder="1" applyAlignment="1">
      <alignment horizontal="right" vertical="center"/>
    </xf>
    <xf numFmtId="43" fontId="2" fillId="0" borderId="1" xfId="421" applyNumberFormat="1" applyFont="1" applyFill="1" applyBorder="1" applyAlignment="1">
      <alignment horizontal="right" vertical="center"/>
    </xf>
    <xf numFmtId="10" fontId="2" fillId="0" borderId="1" xfId="273" applyNumberFormat="1" applyFont="1" applyFill="1" applyBorder="1" applyAlignment="1">
      <alignment horizontal="right" vertical="center"/>
    </xf>
    <xf numFmtId="0" fontId="1" fillId="0" borderId="1" xfId="269" applyFont="1" applyFill="1" applyBorder="1" applyAlignment="1">
      <alignment vertical="center"/>
    </xf>
    <xf numFmtId="10" fontId="1" fillId="0" borderId="1" xfId="272" applyNumberFormat="1" applyFont="1" applyFill="1" applyBorder="1" applyAlignment="1">
      <alignment vertical="center"/>
    </xf>
    <xf numFmtId="4" fontId="1" fillId="0" borderId="1" xfId="269" applyNumberFormat="1" applyFont="1" applyFill="1" applyBorder="1" applyAlignment="1">
      <alignment vertical="center"/>
    </xf>
    <xf numFmtId="164" fontId="1" fillId="0" borderId="1" xfId="421" applyFont="1" applyFill="1" applyBorder="1" applyAlignment="1">
      <alignment vertical="center"/>
    </xf>
    <xf numFmtId="0" fontId="2" fillId="0" borderId="0" xfId="269" applyFont="1" applyFill="1" applyAlignment="1">
      <alignment vertical="center"/>
    </xf>
    <xf numFmtId="0" fontId="1" fillId="0" borderId="0" xfId="269" applyFont="1" applyFill="1" applyAlignment="1">
      <alignment vertical="center"/>
    </xf>
    <xf numFmtId="2" fontId="5" fillId="0" borderId="1" xfId="429" applyNumberFormat="1" applyFont="1" applyFill="1" applyBorder="1" applyAlignment="1">
      <alignment horizontal="right" vertical="center" wrapText="1"/>
    </xf>
    <xf numFmtId="43" fontId="5" fillId="0" borderId="2" xfId="429" applyFont="1" applyFill="1" applyBorder="1" applyAlignment="1">
      <alignment horizontal="center" vertical="center" wrapText="1"/>
    </xf>
    <xf numFmtId="2" fontId="5" fillId="0" borderId="2" xfId="429" applyNumberFormat="1" applyFont="1" applyFill="1" applyBorder="1" applyAlignment="1">
      <alignment horizontal="right" vertical="center" wrapText="1"/>
    </xf>
    <xf numFmtId="10" fontId="29" fillId="0" borderId="0" xfId="272" applyNumberFormat="1" applyFont="1" applyAlignment="1">
      <alignment vertical="top"/>
    </xf>
    <xf numFmtId="43" fontId="29" fillId="0" borderId="0" xfId="429" applyFont="1" applyAlignment="1">
      <alignment vertical="top"/>
    </xf>
    <xf numFmtId="43" fontId="5" fillId="0" borderId="6" xfId="429" applyFont="1" applyFill="1" applyBorder="1" applyAlignment="1">
      <alignment horizontal="center" vertical="top" wrapText="1"/>
    </xf>
    <xf numFmtId="4" fontId="5" fillId="0" borderId="0" xfId="429" applyNumberFormat="1" applyFont="1" applyFill="1" applyBorder="1" applyAlignment="1">
      <alignment horizontal="right" vertical="top"/>
    </xf>
    <xf numFmtId="4" fontId="5" fillId="0" borderId="0" xfId="8" quotePrefix="1" applyNumberFormat="1" applyFont="1" applyFill="1" applyBorder="1" applyAlignment="1">
      <alignment horizontal="right" vertical="top" wrapText="1"/>
    </xf>
    <xf numFmtId="43" fontId="55" fillId="0" borderId="0" xfId="429" applyFont="1" applyAlignment="1">
      <alignment vertical="top"/>
    </xf>
    <xf numFmtId="43" fontId="55" fillId="0" borderId="0" xfId="0" applyNumberFormat="1" applyFont="1" applyAlignment="1">
      <alignment vertical="top"/>
    </xf>
    <xf numFmtId="0" fontId="3" fillId="7" borderId="50" xfId="14" applyFont="1" applyFill="1" applyBorder="1" applyAlignment="1" applyProtection="1">
      <alignment horizontal="center" vertical="center"/>
    </xf>
    <xf numFmtId="0" fontId="3" fillId="7" borderId="0" xfId="14" applyFont="1" applyFill="1" applyBorder="1" applyAlignment="1" applyProtection="1">
      <alignment horizontal="center" vertical="center"/>
    </xf>
    <xf numFmtId="43" fontId="71" fillId="27" borderId="1" xfId="429" applyFont="1" applyFill="1" applyBorder="1" applyAlignment="1">
      <alignment horizontal="center" vertical="center" wrapText="1"/>
    </xf>
    <xf numFmtId="166" fontId="5" fillId="0" borderId="0" xfId="14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82" fillId="29" borderId="3" xfId="198" applyFont="1" applyFill="1" applyBorder="1" applyAlignment="1">
      <alignment horizontal="center" vertical="center"/>
    </xf>
    <xf numFmtId="0" fontId="49" fillId="16" borderId="1" xfId="0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horizontal="left" vertical="center"/>
    </xf>
    <xf numFmtId="0" fontId="55" fillId="10" borderId="1" xfId="0" applyFont="1" applyFill="1" applyBorder="1" applyAlignment="1">
      <alignment horizontal="center"/>
    </xf>
    <xf numFmtId="0" fontId="55" fillId="0" borderId="0" xfId="0" applyFont="1" applyAlignment="1">
      <alignment horizontal="center"/>
    </xf>
    <xf numFmtId="0" fontId="52" fillId="10" borderId="4" xfId="0" applyFont="1" applyFill="1" applyBorder="1" applyAlignment="1">
      <alignment horizontal="center" vertical="center"/>
    </xf>
    <xf numFmtId="0" fontId="71" fillId="24" borderId="4" xfId="0" applyFont="1" applyFill="1" applyBorder="1" applyAlignment="1">
      <alignment horizontal="center" vertical="center" wrapText="1"/>
    </xf>
    <xf numFmtId="0" fontId="70" fillId="24" borderId="1" xfId="0" applyFont="1" applyFill="1" applyBorder="1" applyAlignment="1">
      <alignment horizontal="center" vertical="center" wrapText="1"/>
    </xf>
    <xf numFmtId="0" fontId="71" fillId="24" borderId="1" xfId="0" applyFont="1" applyFill="1" applyBorder="1" applyAlignment="1">
      <alignment horizontal="center" vertical="center" wrapText="1"/>
    </xf>
    <xf numFmtId="0" fontId="70" fillId="25" borderId="1" xfId="0" applyFont="1" applyFill="1" applyBorder="1" applyAlignment="1">
      <alignment horizontal="center" vertical="center" wrapText="1"/>
    </xf>
    <xf numFmtId="0" fontId="2" fillId="16" borderId="3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43" fontId="2" fillId="16" borderId="1" xfId="429" applyFont="1" applyFill="1" applyBorder="1" applyAlignment="1">
      <alignment horizontal="center" vertical="center" wrapText="1"/>
    </xf>
    <xf numFmtId="0" fontId="92" fillId="30" borderId="1" xfId="0" applyFont="1" applyFill="1" applyBorder="1" applyAlignment="1">
      <alignment horizontal="center" vertical="center"/>
    </xf>
    <xf numFmtId="0" fontId="1" fillId="2" borderId="2" xfId="8" applyFont="1" applyFill="1" applyBorder="1" applyAlignment="1">
      <alignment horizontal="center" vertical="center"/>
    </xf>
    <xf numFmtId="0" fontId="1" fillId="2" borderId="2" xfId="8" applyFont="1" applyFill="1" applyBorder="1" applyAlignment="1">
      <alignment horizontal="center" vertical="center" wrapText="1"/>
    </xf>
    <xf numFmtId="4" fontId="1" fillId="2" borderId="1" xfId="8" applyNumberFormat="1" applyFont="1" applyFill="1" applyBorder="1" applyAlignment="1">
      <alignment vertical="center"/>
    </xf>
    <xf numFmtId="4" fontId="1" fillId="2" borderId="4" xfId="308" applyNumberFormat="1" applyFont="1" applyFill="1" applyBorder="1" applyAlignment="1">
      <alignment vertical="center"/>
    </xf>
    <xf numFmtId="43" fontId="1" fillId="2" borderId="1" xfId="429" applyFont="1" applyFill="1" applyBorder="1" applyAlignment="1">
      <alignment vertical="center"/>
    </xf>
    <xf numFmtId="43" fontId="1" fillId="2" borderId="4" xfId="429" applyFont="1" applyFill="1" applyBorder="1" applyAlignment="1">
      <alignment vertical="center"/>
    </xf>
    <xf numFmtId="43" fontId="1" fillId="0" borderId="4" xfId="429" applyFont="1" applyBorder="1" applyAlignment="1">
      <alignment vertical="center"/>
    </xf>
    <xf numFmtId="0" fontId="92" fillId="0" borderId="1" xfId="0" applyFont="1" applyFill="1" applyBorder="1" applyAlignment="1">
      <alignment horizontal="center" vertical="center" wrapText="1"/>
    </xf>
    <xf numFmtId="0" fontId="1" fillId="0" borderId="2" xfId="431" applyNumberFormat="1" applyFont="1" applyFill="1" applyBorder="1" applyAlignment="1">
      <alignment horizontal="center" vertical="center" wrapText="1"/>
    </xf>
    <xf numFmtId="0" fontId="1" fillId="0" borderId="1" xfId="431" applyNumberFormat="1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3" fontId="1" fillId="0" borderId="1" xfId="429" applyFont="1" applyFill="1" applyBorder="1" applyAlignment="1">
      <alignment horizontal="right" vertical="center"/>
    </xf>
    <xf numFmtId="0" fontId="92" fillId="0" borderId="0" xfId="0" applyFont="1"/>
    <xf numFmtId="0" fontId="90" fillId="30" borderId="1" xfId="0" applyFont="1" applyFill="1" applyBorder="1" applyAlignment="1">
      <alignment vertical="center" wrapText="1"/>
    </xf>
    <xf numFmtId="0" fontId="92" fillId="0" borderId="1" xfId="0" applyFont="1" applyBorder="1" applyAlignment="1">
      <alignment vertical="center"/>
    </xf>
    <xf numFmtId="0" fontId="92" fillId="30" borderId="1" xfId="0" applyFont="1" applyFill="1" applyBorder="1" applyAlignment="1">
      <alignment vertical="center" wrapText="1"/>
    </xf>
    <xf numFmtId="43" fontId="92" fillId="0" borderId="1" xfId="429" applyFont="1" applyBorder="1" applyAlignment="1">
      <alignment vertical="center"/>
    </xf>
    <xf numFmtId="0" fontId="92" fillId="0" borderId="1" xfId="0" applyFont="1" applyBorder="1" applyAlignment="1">
      <alignment vertical="center" wrapText="1"/>
    </xf>
    <xf numFmtId="43" fontId="90" fillId="16" borderId="1" xfId="429" applyFont="1" applyFill="1" applyBorder="1" applyAlignment="1">
      <alignment vertical="center"/>
    </xf>
    <xf numFmtId="0" fontId="92" fillId="0" borderId="0" xfId="0" applyFont="1" applyAlignment="1">
      <alignment vertical="center"/>
    </xf>
    <xf numFmtId="43" fontId="90" fillId="16" borderId="1" xfId="0" applyNumberFormat="1" applyFont="1" applyFill="1" applyBorder="1" applyAlignment="1">
      <alignment vertical="center"/>
    </xf>
    <xf numFmtId="0" fontId="55" fillId="0" borderId="5" xfId="0" applyFont="1" applyFill="1" applyBorder="1" applyAlignment="1">
      <alignment horizontal="center"/>
    </xf>
    <xf numFmtId="0" fontId="55" fillId="0" borderId="5" xfId="0" applyFont="1" applyFill="1" applyBorder="1"/>
    <xf numFmtId="0" fontId="0" fillId="0" borderId="5" xfId="0" applyFill="1" applyBorder="1"/>
    <xf numFmtId="0" fontId="55" fillId="16" borderId="1" xfId="0" applyFont="1" applyFill="1" applyBorder="1" applyAlignment="1">
      <alignment vertical="center"/>
    </xf>
    <xf numFmtId="0" fontId="0" fillId="16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45" fillId="0" borderId="0" xfId="0" applyFont="1" applyAlignment="1">
      <alignment vertical="top"/>
    </xf>
    <xf numFmtId="0" fontId="68" fillId="4" borderId="0" xfId="0" applyFont="1" applyFill="1"/>
    <xf numFmtId="167" fontId="94" fillId="14" borderId="2" xfId="0" applyNumberFormat="1" applyFont="1" applyFill="1" applyBorder="1" applyAlignment="1">
      <alignment horizontal="right" vertical="top" wrapText="1"/>
    </xf>
    <xf numFmtId="10" fontId="1" fillId="0" borderId="40" xfId="272" applyNumberFormat="1" applyFont="1" applyBorder="1" applyAlignment="1">
      <alignment horizontal="center"/>
    </xf>
    <xf numFmtId="10" fontId="1" fillId="0" borderId="1" xfId="272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27" xfId="0" applyFont="1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68" fillId="0" borderId="1" xfId="0" applyFont="1" applyBorder="1" applyAlignment="1">
      <alignment vertical="center" wrapText="1"/>
    </xf>
    <xf numFmtId="0" fontId="68" fillId="0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43" fontId="0" fillId="0" borderId="1" xfId="429" applyFont="1" applyBorder="1"/>
    <xf numFmtId="0" fontId="0" fillId="14" borderId="1" xfId="0" applyFill="1" applyBorder="1"/>
    <xf numFmtId="0" fontId="55" fillId="14" borderId="1" xfId="0" applyFont="1" applyFill="1" applyBorder="1"/>
    <xf numFmtId="0" fontId="55" fillId="9" borderId="1" xfId="0" applyFont="1" applyFill="1" applyBorder="1" applyAlignment="1">
      <alignment horizontal="center" vertical="center" wrapText="1"/>
    </xf>
    <xf numFmtId="0" fontId="0" fillId="9" borderId="1" xfId="0" applyFill="1" applyBorder="1"/>
    <xf numFmtId="43" fontId="0" fillId="9" borderId="1" xfId="429" applyFont="1" applyFill="1" applyBorder="1"/>
    <xf numFmtId="0" fontId="55" fillId="9" borderId="1" xfId="0" applyFont="1" applyFill="1" applyBorder="1"/>
    <xf numFmtId="0" fontId="55" fillId="9" borderId="5" xfId="0" applyFont="1" applyFill="1" applyBorder="1"/>
    <xf numFmtId="43" fontId="55" fillId="9" borderId="1" xfId="429" applyFont="1" applyFill="1" applyBorder="1"/>
    <xf numFmtId="0" fontId="55" fillId="9" borderId="1" xfId="0" applyFont="1" applyFill="1" applyBorder="1" applyAlignment="1">
      <alignment horizontal="center" vertical="center"/>
    </xf>
    <xf numFmtId="10" fontId="55" fillId="0" borderId="0" xfId="272" applyNumberFormat="1" applyFont="1" applyAlignment="1">
      <alignment vertical="top"/>
    </xf>
    <xf numFmtId="0" fontId="68" fillId="0" borderId="1" xfId="0" applyFont="1" applyFill="1" applyBorder="1" applyAlignment="1">
      <alignment vertical="center" wrapText="1"/>
    </xf>
    <xf numFmtId="0" fontId="4" fillId="0" borderId="13" xfId="8" applyFont="1" applyFill="1" applyBorder="1" applyAlignment="1">
      <alignment horizontal="left" vertical="center" wrapText="1"/>
    </xf>
    <xf numFmtId="0" fontId="69" fillId="0" borderId="1" xfId="0" applyFont="1" applyFill="1" applyBorder="1" applyAlignment="1">
      <alignment horizontal="center" vertical="center" wrapText="1"/>
    </xf>
    <xf numFmtId="0" fontId="68" fillId="0" borderId="1" xfId="0" applyFont="1" applyFill="1" applyBorder="1" applyAlignment="1"/>
    <xf numFmtId="0" fontId="36" fillId="6" borderId="0" xfId="0" applyFont="1" applyFill="1" applyBorder="1" applyAlignment="1" applyProtection="1">
      <alignment horizontal="left" vertical="center"/>
    </xf>
    <xf numFmtId="0" fontId="3" fillId="5" borderId="50" xfId="14" applyFont="1" applyFill="1" applyBorder="1" applyAlignment="1" applyProtection="1">
      <alignment horizontal="center" vertical="center"/>
    </xf>
    <xf numFmtId="0" fontId="3" fillId="5" borderId="0" xfId="14" applyFont="1" applyFill="1" applyBorder="1" applyAlignment="1" applyProtection="1">
      <alignment horizontal="center" vertical="center"/>
    </xf>
    <xf numFmtId="0" fontId="3" fillId="5" borderId="52" xfId="14" applyFont="1" applyFill="1" applyBorder="1" applyAlignment="1" applyProtection="1">
      <alignment horizontal="center" vertical="center"/>
    </xf>
    <xf numFmtId="0" fontId="3" fillId="7" borderId="50" xfId="14" applyFont="1" applyFill="1" applyBorder="1" applyAlignment="1" applyProtection="1">
      <alignment horizontal="center" vertical="center"/>
    </xf>
    <xf numFmtId="0" fontId="3" fillId="7" borderId="0" xfId="14" applyFont="1" applyFill="1" applyBorder="1" applyAlignment="1" applyProtection="1">
      <alignment horizontal="center" vertical="center"/>
    </xf>
    <xf numFmtId="0" fontId="3" fillId="7" borderId="52" xfId="14" applyFont="1" applyFill="1" applyBorder="1" applyAlignment="1" applyProtection="1">
      <alignment horizontal="center" vertical="center"/>
    </xf>
    <xf numFmtId="0" fontId="36" fillId="32" borderId="54" xfId="0" applyFont="1" applyFill="1" applyBorder="1" applyAlignment="1" applyProtection="1">
      <alignment horizontal="center" vertical="center"/>
    </xf>
    <xf numFmtId="0" fontId="28" fillId="3" borderId="0" xfId="271" applyFont="1" applyFill="1" applyBorder="1" applyAlignment="1">
      <alignment horizontal="center" vertical="center" wrapText="1"/>
    </xf>
    <xf numFmtId="0" fontId="4" fillId="29" borderId="18" xfId="0" quotePrefix="1" applyNumberFormat="1" applyFont="1" applyFill="1" applyBorder="1" applyAlignment="1">
      <alignment horizontal="left" vertical="center" wrapText="1"/>
    </xf>
    <xf numFmtId="0" fontId="4" fillId="29" borderId="15" xfId="0" quotePrefix="1" applyNumberFormat="1" applyFont="1" applyFill="1" applyBorder="1" applyAlignment="1">
      <alignment horizontal="left" vertical="center" wrapText="1"/>
    </xf>
    <xf numFmtId="43" fontId="71" fillId="27" borderId="1" xfId="429" applyFont="1" applyFill="1" applyBorder="1" applyAlignment="1">
      <alignment horizontal="center" vertical="center" wrapText="1"/>
    </xf>
    <xf numFmtId="43" fontId="71" fillId="27" borderId="3" xfId="429" applyFont="1" applyFill="1" applyBorder="1" applyAlignment="1">
      <alignment horizontal="center" vertical="center" wrapText="1"/>
    </xf>
    <xf numFmtId="0" fontId="71" fillId="27" borderId="1" xfId="0" applyFont="1" applyFill="1" applyBorder="1" applyAlignment="1">
      <alignment horizontal="center" vertical="center" wrapText="1"/>
    </xf>
    <xf numFmtId="0" fontId="71" fillId="27" borderId="3" xfId="0" applyFont="1" applyFill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 textRotation="90"/>
    </xf>
    <xf numFmtId="0" fontId="45" fillId="0" borderId="29" xfId="0" applyFont="1" applyBorder="1" applyAlignment="1">
      <alignment horizontal="center" vertical="center" textRotation="90"/>
    </xf>
    <xf numFmtId="0" fontId="45" fillId="0" borderId="13" xfId="0" applyFont="1" applyBorder="1" applyAlignment="1">
      <alignment horizontal="center" vertical="center" textRotation="90"/>
    </xf>
    <xf numFmtId="0" fontId="45" fillId="0" borderId="3" xfId="0" applyFont="1" applyBorder="1" applyAlignment="1">
      <alignment horizontal="center" vertical="center"/>
    </xf>
    <xf numFmtId="0" fontId="45" fillId="0" borderId="29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166" fontId="24" fillId="0" borderId="4" xfId="14" applyNumberFormat="1" applyFont="1" applyFill="1" applyBorder="1" applyAlignment="1">
      <alignment horizontal="center" vertical="top" wrapText="1"/>
    </xf>
    <xf numFmtId="166" fontId="24" fillId="0" borderId="5" xfId="14" applyNumberFormat="1" applyFont="1" applyFill="1" applyBorder="1" applyAlignment="1">
      <alignment horizontal="center" vertical="top" wrapText="1"/>
    </xf>
    <xf numFmtId="166" fontId="24" fillId="0" borderId="2" xfId="14" applyNumberFormat="1" applyFont="1" applyFill="1" applyBorder="1" applyAlignment="1">
      <alignment horizontal="center" vertical="top" wrapText="1"/>
    </xf>
    <xf numFmtId="166" fontId="23" fillId="0" borderId="4" xfId="14" applyNumberFormat="1" applyFont="1" applyFill="1" applyBorder="1" applyAlignment="1">
      <alignment horizontal="center" vertical="top" wrapText="1"/>
    </xf>
    <xf numFmtId="166" fontId="23" fillId="0" borderId="5" xfId="14" applyNumberFormat="1" applyFont="1" applyFill="1" applyBorder="1" applyAlignment="1">
      <alignment horizontal="center" vertical="top" wrapText="1"/>
    </xf>
    <xf numFmtId="166" fontId="23" fillId="0" borderId="2" xfId="14" applyNumberFormat="1" applyFont="1" applyFill="1" applyBorder="1" applyAlignment="1">
      <alignment horizontal="center" vertical="top" wrapText="1"/>
    </xf>
    <xf numFmtId="166" fontId="24" fillId="0" borderId="4" xfId="14" applyNumberFormat="1" applyFont="1" applyFill="1" applyBorder="1" applyAlignment="1">
      <alignment horizontal="left" vertical="top" wrapText="1"/>
    </xf>
    <xf numFmtId="166" fontId="24" fillId="0" borderId="5" xfId="14" applyNumberFormat="1" applyFont="1" applyFill="1" applyBorder="1" applyAlignment="1">
      <alignment horizontal="left" vertical="top" wrapText="1"/>
    </xf>
    <xf numFmtId="166" fontId="24" fillId="0" borderId="2" xfId="14" applyNumberFormat="1" applyFont="1" applyFill="1" applyBorder="1" applyAlignment="1">
      <alignment horizontal="left" vertical="top" wrapText="1"/>
    </xf>
    <xf numFmtId="0" fontId="91" fillId="27" borderId="4" xfId="0" applyFont="1" applyFill="1" applyBorder="1" applyAlignment="1">
      <alignment horizontal="center" vertical="center" wrapText="1"/>
    </xf>
    <xf numFmtId="0" fontId="91" fillId="27" borderId="5" xfId="0" applyFont="1" applyFill="1" applyBorder="1" applyAlignment="1">
      <alignment horizontal="center" vertical="center" wrapText="1"/>
    </xf>
    <xf numFmtId="0" fontId="91" fillId="27" borderId="2" xfId="0" applyFont="1" applyFill="1" applyBorder="1" applyAlignment="1">
      <alignment horizontal="center" vertical="center" wrapText="1"/>
    </xf>
    <xf numFmtId="0" fontId="71" fillId="27" borderId="29" xfId="0" applyFont="1" applyFill="1" applyBorder="1" applyAlignment="1">
      <alignment horizontal="center" vertical="center" wrapText="1"/>
    </xf>
    <xf numFmtId="0" fontId="90" fillId="16" borderId="4" xfId="0" applyFont="1" applyFill="1" applyBorder="1" applyAlignment="1">
      <alignment horizontal="center" vertical="center"/>
    </xf>
    <xf numFmtId="0" fontId="90" fillId="16" borderId="5" xfId="0" applyFont="1" applyFill="1" applyBorder="1" applyAlignment="1">
      <alignment horizontal="center" vertical="center"/>
    </xf>
    <xf numFmtId="0" fontId="90" fillId="16" borderId="2" xfId="0" applyFont="1" applyFill="1" applyBorder="1" applyAlignment="1">
      <alignment horizontal="center" vertical="center"/>
    </xf>
    <xf numFmtId="0" fontId="90" fillId="16" borderId="1" xfId="0" applyFont="1" applyFill="1" applyBorder="1" applyAlignment="1">
      <alignment horizontal="center" vertical="center"/>
    </xf>
    <xf numFmtId="0" fontId="55" fillId="16" borderId="4" xfId="0" applyFont="1" applyFill="1" applyBorder="1" applyAlignment="1">
      <alignment horizontal="center" vertical="center"/>
    </xf>
    <xf numFmtId="0" fontId="55" fillId="16" borderId="2" xfId="0" applyFont="1" applyFill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88" fillId="0" borderId="0" xfId="0" applyFont="1" applyAlignment="1">
      <alignment horizontal="center"/>
    </xf>
    <xf numFmtId="0" fontId="55" fillId="9" borderId="3" xfId="0" applyFont="1" applyFill="1" applyBorder="1" applyAlignment="1">
      <alignment horizontal="center" vertical="center"/>
    </xf>
    <xf numFmtId="0" fontId="55" fillId="9" borderId="13" xfId="0" applyFont="1" applyFill="1" applyBorder="1" applyAlignment="1">
      <alignment horizontal="center" vertical="center"/>
    </xf>
    <xf numFmtId="0" fontId="55" fillId="9" borderId="4" xfId="0" applyFont="1" applyFill="1" applyBorder="1" applyAlignment="1">
      <alignment horizontal="center" vertical="center"/>
    </xf>
    <xf numFmtId="0" fontId="55" fillId="9" borderId="5" xfId="0" applyFont="1" applyFill="1" applyBorder="1" applyAlignment="1">
      <alignment horizontal="center" vertical="center"/>
    </xf>
    <xf numFmtId="0" fontId="55" fillId="9" borderId="2" xfId="0" applyFont="1" applyFill="1" applyBorder="1" applyAlignment="1">
      <alignment horizontal="center" vertical="center"/>
    </xf>
    <xf numFmtId="0" fontId="55" fillId="9" borderId="3" xfId="0" applyFont="1" applyFill="1" applyBorder="1" applyAlignment="1">
      <alignment horizontal="center" vertical="center" wrapText="1"/>
    </xf>
    <xf numFmtId="0" fontId="55" fillId="9" borderId="13" xfId="0" applyFont="1" applyFill="1" applyBorder="1" applyAlignment="1">
      <alignment horizontal="center" vertical="center" wrapText="1"/>
    </xf>
    <xf numFmtId="0" fontId="21" fillId="0" borderId="0" xfId="269" applyFont="1" applyFill="1" applyAlignment="1">
      <alignment horizontal="center"/>
    </xf>
    <xf numFmtId="0" fontId="22" fillId="0" borderId="7" xfId="177" applyFont="1" applyFill="1" applyBorder="1" applyAlignment="1">
      <alignment horizontal="center" vertical="center" wrapText="1"/>
    </xf>
    <xf numFmtId="0" fontId="22" fillId="0" borderId="8" xfId="177" applyFont="1" applyFill="1" applyBorder="1" applyAlignment="1">
      <alignment horizontal="center" vertical="center" wrapText="1"/>
    </xf>
    <xf numFmtId="0" fontId="22" fillId="0" borderId="12" xfId="177" applyFont="1" applyFill="1" applyBorder="1" applyAlignment="1">
      <alignment horizontal="center" vertical="center" wrapText="1"/>
    </xf>
    <xf numFmtId="0" fontId="22" fillId="0" borderId="10" xfId="177" applyFont="1" applyFill="1" applyBorder="1" applyAlignment="1">
      <alignment horizontal="center" vertical="center" wrapText="1"/>
    </xf>
    <xf numFmtId="166" fontId="83" fillId="27" borderId="5" xfId="156" applyNumberFormat="1" applyFont="1" applyFill="1" applyBorder="1" applyAlignment="1">
      <alignment horizontal="center" vertical="center" wrapText="1"/>
    </xf>
    <xf numFmtId="0" fontId="74" fillId="27" borderId="4" xfId="269" applyFont="1" applyFill="1" applyBorder="1" applyAlignment="1">
      <alignment horizontal="center" vertical="center" wrapText="1"/>
    </xf>
    <xf numFmtId="0" fontId="74" fillId="27" borderId="2" xfId="269" applyFont="1" applyFill="1" applyBorder="1" applyAlignment="1">
      <alignment horizontal="center" vertical="center" wrapText="1"/>
    </xf>
    <xf numFmtId="0" fontId="22" fillId="0" borderId="1" xfId="177" applyFont="1" applyFill="1" applyBorder="1" applyAlignment="1">
      <alignment horizontal="center" vertical="center" wrapText="1"/>
    </xf>
    <xf numFmtId="166" fontId="83" fillId="27" borderId="1" xfId="156" applyNumberFormat="1" applyFont="1" applyFill="1" applyBorder="1" applyAlignment="1">
      <alignment horizontal="center" vertical="center" wrapText="1"/>
    </xf>
    <xf numFmtId="0" fontId="1" fillId="0" borderId="7" xfId="269" applyFont="1" applyFill="1" applyBorder="1" applyAlignment="1">
      <alignment horizontal="center" vertical="center"/>
    </xf>
    <xf numFmtId="0" fontId="1" fillId="0" borderId="8" xfId="269" applyFont="1" applyFill="1" applyBorder="1" applyAlignment="1">
      <alignment horizontal="center" vertical="center"/>
    </xf>
    <xf numFmtId="0" fontId="1" fillId="0" borderId="9" xfId="269" applyFont="1" applyFill="1" applyBorder="1" applyAlignment="1">
      <alignment horizontal="center" vertical="center"/>
    </xf>
    <xf numFmtId="0" fontId="1" fillId="0" borderId="6" xfId="269" applyFont="1" applyFill="1" applyBorder="1" applyAlignment="1">
      <alignment horizontal="center" vertical="center"/>
    </xf>
    <xf numFmtId="0" fontId="1" fillId="0" borderId="0" xfId="269" applyFont="1" applyFill="1" applyBorder="1" applyAlignment="1">
      <alignment horizontal="center" vertical="center"/>
    </xf>
    <xf numFmtId="0" fontId="1" fillId="0" borderId="14" xfId="269" applyFont="1" applyFill="1" applyBorder="1" applyAlignment="1">
      <alignment horizontal="center" vertical="center"/>
    </xf>
    <xf numFmtId="0" fontId="1" fillId="0" borderId="12" xfId="269" applyFont="1" applyFill="1" applyBorder="1" applyAlignment="1">
      <alignment horizontal="center" vertical="center"/>
    </xf>
    <xf numFmtId="0" fontId="1" fillId="0" borderId="10" xfId="269" applyFont="1" applyFill="1" applyBorder="1" applyAlignment="1">
      <alignment horizontal="center" vertical="center"/>
    </xf>
    <xf numFmtId="0" fontId="1" fillId="0" borderId="11" xfId="269" applyFont="1" applyFill="1" applyBorder="1" applyAlignment="1">
      <alignment horizontal="center" vertical="center"/>
    </xf>
    <xf numFmtId="166" fontId="83" fillId="27" borderId="4" xfId="156" applyNumberFormat="1" applyFont="1" applyFill="1" applyBorder="1" applyAlignment="1">
      <alignment horizontal="center" vertical="center" wrapText="1"/>
    </xf>
    <xf numFmtId="0" fontId="22" fillId="0" borderId="9" xfId="177" applyFont="1" applyFill="1" applyBorder="1" applyAlignment="1">
      <alignment horizontal="center" vertical="center" wrapText="1"/>
    </xf>
    <xf numFmtId="0" fontId="22" fillId="0" borderId="11" xfId="177" applyFont="1" applyFill="1" applyBorder="1" applyAlignment="1">
      <alignment horizontal="center" vertical="center" wrapText="1"/>
    </xf>
    <xf numFmtId="0" fontId="23" fillId="0" borderId="7" xfId="177" applyFont="1" applyFill="1" applyBorder="1" applyAlignment="1">
      <alignment horizontal="center" vertical="center" wrapText="1"/>
    </xf>
    <xf numFmtId="0" fontId="23" fillId="0" borderId="8" xfId="177" applyFont="1" applyFill="1" applyBorder="1" applyAlignment="1">
      <alignment horizontal="center" vertical="center" wrapText="1"/>
    </xf>
    <xf numFmtId="0" fontId="23" fillId="0" borderId="9" xfId="177" applyFont="1" applyFill="1" applyBorder="1" applyAlignment="1">
      <alignment horizontal="center" vertical="center" wrapText="1"/>
    </xf>
    <xf numFmtId="0" fontId="23" fillId="0" borderId="12" xfId="177" applyFont="1" applyFill="1" applyBorder="1" applyAlignment="1">
      <alignment horizontal="center" vertical="center" wrapText="1"/>
    </xf>
    <xf numFmtId="0" fontId="23" fillId="0" borderId="10" xfId="177" applyFont="1" applyFill="1" applyBorder="1" applyAlignment="1">
      <alignment horizontal="center" vertical="center" wrapText="1"/>
    </xf>
    <xf numFmtId="0" fontId="23" fillId="0" borderId="11" xfId="177" applyFont="1" applyFill="1" applyBorder="1" applyAlignment="1">
      <alignment horizontal="center" vertical="center" wrapText="1"/>
    </xf>
    <xf numFmtId="0" fontId="74" fillId="27" borderId="3" xfId="269" applyFont="1" applyFill="1" applyBorder="1" applyAlignment="1">
      <alignment horizontal="center" vertical="center" wrapText="1"/>
    </xf>
    <xf numFmtId="0" fontId="74" fillId="27" borderId="13" xfId="269" applyFont="1" applyFill="1" applyBorder="1" applyAlignment="1">
      <alignment horizontal="center" vertical="center" wrapText="1"/>
    </xf>
    <xf numFmtId="166" fontId="5" fillId="0" borderId="1" xfId="14" applyNumberFormat="1" applyFont="1" applyFill="1" applyBorder="1" applyAlignment="1">
      <alignment vertical="center" wrapText="1"/>
    </xf>
    <xf numFmtId="4" fontId="5" fillId="0" borderId="4" xfId="14" applyNumberFormat="1" applyFont="1" applyFill="1" applyBorder="1" applyAlignment="1">
      <alignment vertical="center" wrapText="1"/>
    </xf>
    <xf numFmtId="4" fontId="5" fillId="0" borderId="5" xfId="14" applyNumberFormat="1" applyFont="1" applyFill="1" applyBorder="1" applyAlignment="1">
      <alignment vertical="center" wrapText="1"/>
    </xf>
    <xf numFmtId="166" fontId="3" fillId="0" borderId="5" xfId="156" applyNumberFormat="1" applyFont="1" applyFill="1" applyBorder="1" applyAlignment="1">
      <alignment horizontal="center" vertical="center" wrapText="1"/>
    </xf>
    <xf numFmtId="2" fontId="96" fillId="4" borderId="1" xfId="0" applyNumberFormat="1" applyFont="1" applyFill="1" applyBorder="1" applyAlignment="1">
      <alignment horizontal="center" vertical="center" wrapText="1"/>
    </xf>
    <xf numFmtId="0" fontId="94" fillId="4" borderId="1" xfId="0" applyFont="1" applyFill="1" applyBorder="1" applyAlignment="1">
      <alignment horizontal="left" vertical="center" wrapText="1" indent="2"/>
    </xf>
    <xf numFmtId="2" fontId="94" fillId="4" borderId="1" xfId="0" applyNumberFormat="1" applyFont="1" applyFill="1" applyBorder="1" applyAlignment="1">
      <alignment horizontal="center" vertical="center" wrapText="1"/>
    </xf>
    <xf numFmtId="0" fontId="96" fillId="0" borderId="1" xfId="0" applyFont="1" applyFill="1" applyBorder="1" applyAlignment="1">
      <alignment horizontal="left" vertical="center" wrapText="1"/>
    </xf>
    <xf numFmtId="0" fontId="80" fillId="4" borderId="0" xfId="0" applyFont="1" applyFill="1" applyBorder="1" applyAlignment="1">
      <alignment horizontal="center" vertical="top" wrapText="1"/>
    </xf>
    <xf numFmtId="0" fontId="24" fillId="0" borderId="0" xfId="271" applyFont="1" applyFill="1" applyBorder="1" applyAlignment="1">
      <alignment horizontal="left" vertical="center" wrapText="1"/>
    </xf>
    <xf numFmtId="0" fontId="93" fillId="36" borderId="1" xfId="0" applyFont="1" applyFill="1" applyBorder="1" applyAlignment="1">
      <alignment horizontal="center" vertical="center" wrapText="1"/>
    </xf>
    <xf numFmtId="0" fontId="93" fillId="36" borderId="1" xfId="0" applyFont="1" applyFill="1" applyBorder="1" applyAlignment="1">
      <alignment horizontal="center" vertical="top" wrapText="1"/>
    </xf>
    <xf numFmtId="10" fontId="95" fillId="0" borderId="30" xfId="272" applyNumberFormat="1" applyFont="1" applyBorder="1" applyAlignment="1">
      <alignment horizontal="center"/>
    </xf>
    <xf numFmtId="10" fontId="95" fillId="0" borderId="31" xfId="272" applyNumberFormat="1" applyFont="1" applyBorder="1" applyAlignment="1">
      <alignment horizontal="center"/>
    </xf>
    <xf numFmtId="10" fontId="95" fillId="0" borderId="32" xfId="272" applyNumberFormat="1" applyFont="1" applyBorder="1" applyAlignment="1">
      <alignment horizontal="center"/>
    </xf>
    <xf numFmtId="0" fontId="2" fillId="37" borderId="18" xfId="0" applyFont="1" applyFill="1" applyBorder="1" applyAlignment="1">
      <alignment horizontal="center" vertical="center"/>
    </xf>
    <xf numFmtId="0" fontId="2" fillId="37" borderId="15" xfId="0" applyFont="1" applyFill="1" applyBorder="1" applyAlignment="1">
      <alignment horizontal="center" vertical="center"/>
    </xf>
    <xf numFmtId="0" fontId="2" fillId="37" borderId="19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3" fillId="0" borderId="9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1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166" fontId="3" fillId="21" borderId="24" xfId="14" applyNumberFormat="1" applyFont="1" applyFill="1" applyBorder="1" applyAlignment="1">
      <alignment horizontal="center" vertical="center" wrapText="1"/>
    </xf>
    <xf numFmtId="166" fontId="3" fillId="21" borderId="17" xfId="14" applyNumberFormat="1" applyFont="1" applyFill="1" applyBorder="1" applyAlignment="1">
      <alignment horizontal="center" vertical="center" wrapText="1"/>
    </xf>
    <xf numFmtId="166" fontId="3" fillId="21" borderId="25" xfId="14" applyNumberFormat="1" applyFont="1" applyFill="1" applyBorder="1" applyAlignment="1">
      <alignment horizontal="center" vertical="center" wrapText="1"/>
    </xf>
    <xf numFmtId="166" fontId="1" fillId="0" borderId="4" xfId="14" applyNumberFormat="1" applyFont="1" applyFill="1" applyBorder="1" applyAlignment="1">
      <alignment horizontal="left" vertical="center" wrapText="1"/>
    </xf>
    <xf numFmtId="166" fontId="1" fillId="0" borderId="2" xfId="14" applyNumberFormat="1" applyFont="1" applyFill="1" applyBorder="1" applyAlignment="1">
      <alignment horizontal="left" vertical="center" wrapText="1"/>
    </xf>
    <xf numFmtId="166" fontId="2" fillId="0" borderId="1" xfId="14" applyNumberFormat="1" applyFont="1" applyFill="1" applyBorder="1" applyAlignment="1">
      <alignment horizontal="left" vertical="center" wrapText="1"/>
    </xf>
    <xf numFmtId="166" fontId="1" fillId="0" borderId="1" xfId="14" applyNumberFormat="1" applyFont="1" applyFill="1" applyBorder="1" applyAlignment="1">
      <alignment horizontal="left" vertical="center" wrapText="1"/>
    </xf>
    <xf numFmtId="166" fontId="4" fillId="0" borderId="1" xfId="14" applyNumberFormat="1" applyFont="1" applyFill="1" applyBorder="1" applyAlignment="1">
      <alignment horizontal="center" vertical="center" wrapText="1"/>
    </xf>
    <xf numFmtId="166" fontId="5" fillId="0" borderId="0" xfId="14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34" fillId="0" borderId="30" xfId="198" applyFont="1" applyBorder="1" applyAlignment="1">
      <alignment horizontal="center" wrapText="1"/>
    </xf>
    <xf numFmtId="0" fontId="34" fillId="0" borderId="31" xfId="198" applyFont="1" applyBorder="1" applyAlignment="1">
      <alignment horizontal="center" wrapText="1"/>
    </xf>
    <xf numFmtId="0" fontId="34" fillId="0" borderId="32" xfId="198" applyFont="1" applyBorder="1" applyAlignment="1">
      <alignment horizontal="center" wrapText="1"/>
    </xf>
    <xf numFmtId="0" fontId="30" fillId="0" borderId="33" xfId="198" applyFont="1" applyBorder="1" applyAlignment="1">
      <alignment horizontal="center"/>
    </xf>
    <xf numFmtId="0" fontId="30" fillId="0" borderId="10" xfId="198" applyFont="1" applyBorder="1" applyAlignment="1">
      <alignment horizontal="center"/>
    </xf>
    <xf numFmtId="0" fontId="30" fillId="0" borderId="34" xfId="198" applyFont="1" applyBorder="1" applyAlignment="1">
      <alignment horizontal="center"/>
    </xf>
    <xf numFmtId="0" fontId="82" fillId="29" borderId="22" xfId="198" applyFont="1" applyFill="1" applyBorder="1" applyAlignment="1">
      <alignment horizontal="center"/>
    </xf>
    <xf numFmtId="0" fontId="82" fillId="29" borderId="1" xfId="198" applyFont="1" applyFill="1" applyBorder="1" applyAlignment="1">
      <alignment horizontal="center"/>
    </xf>
    <xf numFmtId="0" fontId="30" fillId="0" borderId="1" xfId="198" applyFont="1" applyBorder="1" applyAlignment="1">
      <alignment horizontal="left"/>
    </xf>
    <xf numFmtId="0" fontId="30" fillId="0" borderId="35" xfId="198" applyFont="1" applyBorder="1" applyAlignment="1">
      <alignment horizontal="center"/>
    </xf>
    <xf numFmtId="0" fontId="30" fillId="0" borderId="31" xfId="198" applyFont="1" applyBorder="1" applyAlignment="1">
      <alignment horizontal="center"/>
    </xf>
    <xf numFmtId="0" fontId="30" fillId="0" borderId="36" xfId="198" applyFont="1" applyBorder="1" applyAlignment="1">
      <alignment horizontal="center"/>
    </xf>
    <xf numFmtId="0" fontId="30" fillId="0" borderId="37" xfId="198" applyFont="1" applyBorder="1" applyAlignment="1">
      <alignment horizontal="center"/>
    </xf>
    <xf numFmtId="0" fontId="30" fillId="0" borderId="0" xfId="198" applyFont="1" applyBorder="1" applyAlignment="1">
      <alignment horizontal="center"/>
    </xf>
    <xf numFmtId="0" fontId="30" fillId="0" borderId="38" xfId="198" applyFont="1" applyBorder="1" applyAlignment="1">
      <alignment horizontal="center"/>
    </xf>
    <xf numFmtId="0" fontId="34" fillId="0" borderId="39" xfId="198" applyFont="1" applyBorder="1" applyAlignment="1">
      <alignment horizontal="center"/>
    </xf>
    <xf numFmtId="0" fontId="34" fillId="0" borderId="40" xfId="198" applyFont="1" applyBorder="1" applyAlignment="1">
      <alignment horizontal="center"/>
    </xf>
    <xf numFmtId="0" fontId="34" fillId="0" borderId="41" xfId="198" applyFont="1" applyBorder="1" applyAlignment="1">
      <alignment horizontal="center"/>
    </xf>
    <xf numFmtId="0" fontId="30" fillId="0" borderId="4" xfId="198" applyFont="1" applyBorder="1" applyAlignment="1">
      <alignment horizontal="left" wrapText="1"/>
    </xf>
    <xf numFmtId="0" fontId="30" fillId="0" borderId="5" xfId="198" applyFont="1" applyBorder="1" applyAlignment="1">
      <alignment horizontal="left" wrapText="1"/>
    </xf>
    <xf numFmtId="0" fontId="30" fillId="0" borderId="2" xfId="198" applyFont="1" applyBorder="1" applyAlignment="1">
      <alignment horizontal="left" wrapText="1"/>
    </xf>
    <xf numFmtId="0" fontId="34" fillId="0" borderId="17" xfId="198" applyFont="1" applyBorder="1" applyAlignment="1">
      <alignment horizontal="center"/>
    </xf>
    <xf numFmtId="0" fontId="30" fillId="0" borderId="4" xfId="198" applyFont="1" applyBorder="1" applyAlignment="1">
      <alignment horizontal="left"/>
    </xf>
    <xf numFmtId="0" fontId="30" fillId="0" borderId="5" xfId="198" applyFont="1" applyBorder="1" applyAlignment="1">
      <alignment horizontal="left"/>
    </xf>
    <xf numFmtId="0" fontId="30" fillId="0" borderId="2" xfId="198" applyFont="1" applyBorder="1" applyAlignment="1">
      <alignment horizontal="left"/>
    </xf>
    <xf numFmtId="0" fontId="34" fillId="0" borderId="27" xfId="198" applyFont="1" applyBorder="1" applyAlignment="1">
      <alignment horizontal="center"/>
    </xf>
    <xf numFmtId="0" fontId="30" fillId="0" borderId="3" xfId="198" applyFont="1" applyBorder="1" applyAlignment="1">
      <alignment horizontal="left"/>
    </xf>
    <xf numFmtId="166" fontId="1" fillId="0" borderId="12" xfId="14" applyNumberFormat="1" applyFont="1" applyFill="1" applyBorder="1" applyAlignment="1">
      <alignment horizontal="left" vertical="center" wrapText="1"/>
    </xf>
    <xf numFmtId="166" fontId="1" fillId="0" borderId="10" xfId="14" applyNumberFormat="1" applyFont="1" applyFill="1" applyBorder="1" applyAlignment="1">
      <alignment horizontal="left" vertical="center" wrapText="1"/>
    </xf>
    <xf numFmtId="166" fontId="1" fillId="0" borderId="11" xfId="14" applyNumberFormat="1" applyFont="1" applyFill="1" applyBorder="1" applyAlignment="1">
      <alignment horizontal="left" vertical="center" wrapText="1"/>
    </xf>
    <xf numFmtId="166" fontId="28" fillId="0" borderId="12" xfId="14" applyNumberFormat="1" applyFont="1" applyFill="1" applyBorder="1" applyAlignment="1">
      <alignment horizontal="center" vertical="center" wrapText="1"/>
    </xf>
    <xf numFmtId="166" fontId="28" fillId="0" borderId="10" xfId="14" applyNumberFormat="1" applyFont="1" applyFill="1" applyBorder="1" applyAlignment="1">
      <alignment horizontal="center" vertical="center" wrapText="1"/>
    </xf>
    <xf numFmtId="166" fontId="28" fillId="0" borderId="11" xfId="14" applyNumberFormat="1" applyFont="1" applyFill="1" applyBorder="1" applyAlignment="1">
      <alignment horizontal="center" vertical="center" wrapText="1"/>
    </xf>
    <xf numFmtId="0" fontId="82" fillId="21" borderId="18" xfId="198" applyFont="1" applyFill="1" applyBorder="1" applyAlignment="1">
      <alignment horizontal="center" vertical="center"/>
    </xf>
    <xf numFmtId="0" fontId="82" fillId="21" borderId="15" xfId="198" applyFont="1" applyFill="1" applyBorder="1" applyAlignment="1">
      <alignment horizontal="center" vertical="center"/>
    </xf>
    <xf numFmtId="0" fontId="82" fillId="21" borderId="19" xfId="198" applyFont="1" applyFill="1" applyBorder="1" applyAlignment="1">
      <alignment horizontal="center" vertical="center"/>
    </xf>
    <xf numFmtId="0" fontId="82" fillId="29" borderId="3" xfId="198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6" fontId="1" fillId="0" borderId="5" xfId="14" applyNumberFormat="1" applyFont="1" applyFill="1" applyBorder="1" applyAlignment="1">
      <alignment horizontal="left" vertical="center" wrapText="1"/>
    </xf>
    <xf numFmtId="166" fontId="2" fillId="0" borderId="4" xfId="14" applyNumberFormat="1" applyFont="1" applyFill="1" applyBorder="1" applyAlignment="1">
      <alignment horizontal="left" vertical="center" wrapText="1"/>
    </xf>
    <xf numFmtId="166" fontId="2" fillId="0" borderId="5" xfId="14" applyNumberFormat="1" applyFont="1" applyFill="1" applyBorder="1" applyAlignment="1">
      <alignment horizontal="left" vertical="center" wrapText="1"/>
    </xf>
    <xf numFmtId="166" fontId="2" fillId="0" borderId="2" xfId="14" applyNumberFormat="1" applyFont="1" applyFill="1" applyBorder="1" applyAlignment="1">
      <alignment horizontal="left" vertical="center" wrapText="1"/>
    </xf>
    <xf numFmtId="0" fontId="87" fillId="33" borderId="4" xfId="0" applyFont="1" applyFill="1" applyBorder="1" applyAlignment="1">
      <alignment horizontal="center" vertical="center"/>
    </xf>
    <xf numFmtId="0" fontId="87" fillId="33" borderId="5" xfId="0" applyFont="1" applyFill="1" applyBorder="1" applyAlignment="1">
      <alignment horizontal="center" vertical="center"/>
    </xf>
    <xf numFmtId="0" fontId="87" fillId="33" borderId="2" xfId="0" applyFont="1" applyFill="1" applyBorder="1" applyAlignment="1">
      <alignment horizontal="center" vertical="center"/>
    </xf>
    <xf numFmtId="4" fontId="61" fillId="4" borderId="4" xfId="0" applyNumberFormat="1" applyFont="1" applyFill="1" applyBorder="1" applyAlignment="1">
      <alignment horizontal="center" vertical="center" wrapText="1"/>
    </xf>
    <xf numFmtId="4" fontId="61" fillId="4" borderId="2" xfId="0" applyNumberFormat="1" applyFont="1" applyFill="1" applyBorder="1" applyAlignment="1">
      <alignment horizontal="center" vertical="center" wrapText="1"/>
    </xf>
    <xf numFmtId="0" fontId="49" fillId="16" borderId="4" xfId="0" applyFont="1" applyFill="1" applyBorder="1" applyAlignment="1">
      <alignment horizontal="center" vertical="center" wrapText="1"/>
    </xf>
    <xf numFmtId="0" fontId="49" fillId="16" borderId="2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left" vertical="center"/>
    </xf>
    <xf numFmtId="0" fontId="60" fillId="4" borderId="8" xfId="0" applyFont="1" applyFill="1" applyBorder="1" applyAlignment="1">
      <alignment horizontal="left" vertical="center"/>
    </xf>
    <xf numFmtId="0" fontId="60" fillId="4" borderId="9" xfId="0" applyFont="1" applyFill="1" applyBorder="1" applyAlignment="1">
      <alignment horizontal="left" vertical="center"/>
    </xf>
    <xf numFmtId="0" fontId="60" fillId="4" borderId="6" xfId="0" applyFont="1" applyFill="1" applyBorder="1" applyAlignment="1">
      <alignment horizontal="left" vertical="center"/>
    </xf>
    <xf numFmtId="0" fontId="60" fillId="4" borderId="0" xfId="0" applyFont="1" applyFill="1" applyBorder="1" applyAlignment="1">
      <alignment horizontal="left" vertical="center"/>
    </xf>
    <xf numFmtId="0" fontId="60" fillId="4" borderId="14" xfId="0" applyFont="1" applyFill="1" applyBorder="1" applyAlignment="1">
      <alignment horizontal="left" vertical="center"/>
    </xf>
    <xf numFmtId="0" fontId="60" fillId="4" borderId="12" xfId="0" applyFont="1" applyFill="1" applyBorder="1" applyAlignment="1">
      <alignment horizontal="left" vertical="center"/>
    </xf>
    <xf numFmtId="0" fontId="60" fillId="4" borderId="10" xfId="0" applyFont="1" applyFill="1" applyBorder="1" applyAlignment="1">
      <alignment horizontal="left" vertical="center"/>
    </xf>
    <xf numFmtId="0" fontId="60" fillId="4" borderId="11" xfId="0" applyFont="1" applyFill="1" applyBorder="1" applyAlignment="1">
      <alignment horizontal="left" vertical="center"/>
    </xf>
    <xf numFmtId="0" fontId="49" fillId="16" borderId="1" xfId="0" applyFont="1" applyFill="1" applyBorder="1" applyAlignment="1">
      <alignment horizontal="center" vertical="center"/>
    </xf>
    <xf numFmtId="0" fontId="62" fillId="34" borderId="4" xfId="0" applyFont="1" applyFill="1" applyBorder="1" applyAlignment="1">
      <alignment horizontal="center" vertical="center" wrapText="1"/>
    </xf>
    <xf numFmtId="0" fontId="62" fillId="34" borderId="5" xfId="0" applyFont="1" applyFill="1" applyBorder="1" applyAlignment="1">
      <alignment horizontal="center" vertical="center" wrapText="1"/>
    </xf>
    <xf numFmtId="0" fontId="62" fillId="34" borderId="2" xfId="0" applyFont="1" applyFill="1" applyBorder="1" applyAlignment="1">
      <alignment horizontal="center" vertical="center" wrapText="1"/>
    </xf>
    <xf numFmtId="0" fontId="62" fillId="31" borderId="4" xfId="0" applyFont="1" applyFill="1" applyBorder="1" applyAlignment="1">
      <alignment horizontal="center" vertical="center" wrapText="1"/>
    </xf>
    <xf numFmtId="0" fontId="62" fillId="31" borderId="5" xfId="0" applyFont="1" applyFill="1" applyBorder="1" applyAlignment="1">
      <alignment horizontal="center" vertical="center" wrapText="1"/>
    </xf>
    <xf numFmtId="0" fontId="62" fillId="31" borderId="2" xfId="0" applyFont="1" applyFill="1" applyBorder="1" applyAlignment="1">
      <alignment horizontal="center" vertical="center" wrapText="1"/>
    </xf>
    <xf numFmtId="0" fontId="49" fillId="16" borderId="5" xfId="0" applyFont="1" applyFill="1" applyBorder="1" applyAlignment="1">
      <alignment horizontal="center" vertical="center" wrapText="1"/>
    </xf>
    <xf numFmtId="0" fontId="62" fillId="17" borderId="3" xfId="0" applyFont="1" applyFill="1" applyBorder="1" applyAlignment="1">
      <alignment horizontal="center" vertical="center" wrapText="1"/>
    </xf>
    <xf numFmtId="0" fontId="62" fillId="17" borderId="29" xfId="0" applyFont="1" applyFill="1" applyBorder="1" applyAlignment="1">
      <alignment horizontal="center" vertical="center" wrapText="1"/>
    </xf>
    <xf numFmtId="0" fontId="62" fillId="17" borderId="13" xfId="0" applyFont="1" applyFill="1" applyBorder="1" applyAlignment="1">
      <alignment horizontal="center" vertical="center" wrapText="1"/>
    </xf>
    <xf numFmtId="0" fontId="62" fillId="18" borderId="4" xfId="0" applyFont="1" applyFill="1" applyBorder="1" applyAlignment="1">
      <alignment horizontal="center" vertical="center" wrapText="1"/>
    </xf>
    <xf numFmtId="0" fontId="62" fillId="18" borderId="2" xfId="0" applyFont="1" applyFill="1" applyBorder="1" applyAlignment="1">
      <alignment horizontal="center" vertical="center" wrapText="1"/>
    </xf>
    <xf numFmtId="4" fontId="61" fillId="18" borderId="4" xfId="0" applyNumberFormat="1" applyFont="1" applyFill="1" applyBorder="1" applyAlignment="1">
      <alignment horizontal="center" vertical="center" wrapText="1"/>
    </xf>
    <xf numFmtId="4" fontId="61" fillId="18" borderId="2" xfId="0" applyNumberFormat="1" applyFont="1" applyFill="1" applyBorder="1" applyAlignment="1">
      <alignment horizontal="center" vertical="center" wrapText="1"/>
    </xf>
    <xf numFmtId="0" fontId="8" fillId="16" borderId="7" xfId="0" applyFont="1" applyFill="1" applyBorder="1" applyAlignment="1">
      <alignment horizontal="center" vertical="center" wrapText="1"/>
    </xf>
    <xf numFmtId="0" fontId="8" fillId="16" borderId="9" xfId="0" applyFont="1" applyFill="1" applyBorder="1" applyAlignment="1">
      <alignment horizontal="center" vertical="center" wrapText="1"/>
    </xf>
    <xf numFmtId="0" fontId="8" fillId="16" borderId="12" xfId="0" applyFont="1" applyFill="1" applyBorder="1" applyAlignment="1">
      <alignment horizontal="center" vertical="center" wrapText="1"/>
    </xf>
    <xf numFmtId="0" fontId="8" fillId="16" borderId="11" xfId="0" applyFont="1" applyFill="1" applyBorder="1" applyAlignment="1">
      <alignment horizontal="center" vertical="center" wrapText="1"/>
    </xf>
    <xf numFmtId="0" fontId="52" fillId="35" borderId="12" xfId="0" applyFont="1" applyFill="1" applyBorder="1" applyAlignment="1">
      <alignment horizontal="center" vertical="center"/>
    </xf>
    <xf numFmtId="0" fontId="52" fillId="35" borderId="10" xfId="0" applyFont="1" applyFill="1" applyBorder="1" applyAlignment="1">
      <alignment horizontal="center" vertical="center"/>
    </xf>
    <xf numFmtId="0" fontId="52" fillId="35" borderId="11" xfId="0" applyFont="1" applyFill="1" applyBorder="1" applyAlignment="1">
      <alignment horizontal="center" vertical="center"/>
    </xf>
    <xf numFmtId="0" fontId="52" fillId="35" borderId="4" xfId="0" applyFont="1" applyFill="1" applyBorder="1" applyAlignment="1">
      <alignment horizontal="center" vertical="center"/>
    </xf>
    <xf numFmtId="0" fontId="52" fillId="35" borderId="5" xfId="0" applyFont="1" applyFill="1" applyBorder="1" applyAlignment="1">
      <alignment horizontal="center" vertical="center"/>
    </xf>
    <xf numFmtId="0" fontId="52" fillId="35" borderId="2" xfId="0" applyFont="1" applyFill="1" applyBorder="1" applyAlignment="1">
      <alignment horizontal="center" vertical="center"/>
    </xf>
    <xf numFmtId="4" fontId="61" fillId="4" borderId="12" xfId="0" applyNumberFormat="1" applyFont="1" applyFill="1" applyBorder="1" applyAlignment="1">
      <alignment horizontal="center" vertical="center" wrapText="1"/>
    </xf>
    <xf numFmtId="4" fontId="61" fillId="4" borderId="11" xfId="0" applyNumberFormat="1" applyFont="1" applyFill="1" applyBorder="1" applyAlignment="1">
      <alignment horizontal="center" vertical="center" wrapText="1"/>
    </xf>
    <xf numFmtId="0" fontId="62" fillId="34" borderId="7" xfId="0" applyFont="1" applyFill="1" applyBorder="1" applyAlignment="1">
      <alignment horizontal="center" vertical="center" wrapText="1"/>
    </xf>
    <xf numFmtId="0" fontId="62" fillId="34" borderId="9" xfId="0" applyFont="1" applyFill="1" applyBorder="1" applyAlignment="1">
      <alignment horizontal="center" vertical="center" wrapText="1"/>
    </xf>
    <xf numFmtId="0" fontId="62" fillId="34" borderId="8" xfId="0" applyFont="1" applyFill="1" applyBorder="1" applyAlignment="1">
      <alignment horizontal="center" vertical="center" wrapText="1"/>
    </xf>
    <xf numFmtId="0" fontId="62" fillId="31" borderId="8" xfId="0" applyFont="1" applyFill="1" applyBorder="1" applyAlignment="1">
      <alignment horizontal="center" vertical="center" wrapText="1"/>
    </xf>
    <xf numFmtId="0" fontId="62" fillId="31" borderId="9" xfId="0" applyFont="1" applyFill="1" applyBorder="1" applyAlignment="1">
      <alignment horizontal="center" vertical="center" wrapText="1"/>
    </xf>
    <xf numFmtId="0" fontId="62" fillId="31" borderId="7" xfId="0" applyFont="1" applyFill="1" applyBorder="1" applyAlignment="1">
      <alignment horizontal="center" vertical="center" wrapText="1"/>
    </xf>
    <xf numFmtId="0" fontId="62" fillId="18" borderId="3" xfId="0" applyFont="1" applyFill="1" applyBorder="1" applyAlignment="1">
      <alignment horizontal="center" vertical="center" wrapText="1"/>
    </xf>
    <xf numFmtId="0" fontId="62" fillId="18" borderId="29" xfId="0" applyFont="1" applyFill="1" applyBorder="1" applyAlignment="1">
      <alignment horizontal="center" vertical="center" wrapText="1"/>
    </xf>
    <xf numFmtId="0" fontId="62" fillId="18" borderId="13" xfId="0" applyFont="1" applyFill="1" applyBorder="1" applyAlignment="1">
      <alignment horizontal="center" vertical="center" wrapText="1"/>
    </xf>
    <xf numFmtId="0" fontId="62" fillId="18" borderId="5" xfId="0" applyFont="1" applyFill="1" applyBorder="1" applyAlignment="1">
      <alignment horizontal="center" vertical="center" wrapText="1"/>
    </xf>
    <xf numFmtId="0" fontId="62" fillId="17" borderId="4" xfId="0" applyFont="1" applyFill="1" applyBorder="1" applyAlignment="1">
      <alignment horizontal="center" vertical="center" wrapText="1"/>
    </xf>
    <xf numFmtId="0" fontId="62" fillId="17" borderId="5" xfId="0" applyFont="1" applyFill="1" applyBorder="1" applyAlignment="1">
      <alignment horizontal="center" vertical="center" wrapText="1"/>
    </xf>
    <xf numFmtId="0" fontId="62" fillId="17" borderId="2" xfId="0" applyFont="1" applyFill="1" applyBorder="1" applyAlignment="1">
      <alignment horizontal="center" vertical="center" wrapText="1"/>
    </xf>
    <xf numFmtId="0" fontId="62" fillId="18" borderId="8" xfId="0" applyFont="1" applyFill="1" applyBorder="1" applyAlignment="1">
      <alignment horizontal="center" vertical="center" wrapText="1"/>
    </xf>
    <xf numFmtId="0" fontId="62" fillId="17" borderId="8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88" fillId="0" borderId="10" xfId="0" applyFont="1" applyBorder="1" applyAlignment="1">
      <alignment horizontal="center" vertical="center"/>
    </xf>
    <xf numFmtId="0" fontId="77" fillId="0" borderId="1" xfId="0" applyFont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5" fillId="10" borderId="1" xfId="0" applyFont="1" applyFill="1" applyBorder="1" applyAlignment="1">
      <alignment horizontal="center" vertical="center"/>
    </xf>
    <xf numFmtId="0" fontId="55" fillId="10" borderId="1" xfId="0" applyFont="1" applyFill="1" applyBorder="1" applyAlignment="1">
      <alignment horizontal="center" vertical="center" wrapText="1"/>
    </xf>
    <xf numFmtId="0" fontId="55" fillId="10" borderId="1" xfId="0" applyFont="1" applyFill="1" applyBorder="1" applyAlignment="1">
      <alignment horizontal="center"/>
    </xf>
    <xf numFmtId="0" fontId="89" fillId="0" borderId="0" xfId="0" applyFont="1" applyAlignment="1">
      <alignment horizontal="center"/>
    </xf>
    <xf numFmtId="0" fontId="55" fillId="0" borderId="1" xfId="0" applyFont="1" applyFill="1" applyBorder="1" applyAlignment="1">
      <alignment horizontal="right"/>
    </xf>
    <xf numFmtId="0" fontId="0" fillId="0" borderId="1" xfId="0" applyFill="1" applyBorder="1" applyAlignment="1">
      <alignment horizontal="right"/>
    </xf>
    <xf numFmtId="0" fontId="55" fillId="0" borderId="0" xfId="0" applyFont="1" applyAlignment="1">
      <alignment horizontal="center"/>
    </xf>
    <xf numFmtId="0" fontId="49" fillId="10" borderId="4" xfId="0" applyFont="1" applyFill="1" applyBorder="1" applyAlignment="1">
      <alignment horizontal="center" vertical="center" wrapText="1"/>
    </xf>
    <xf numFmtId="0" fontId="49" fillId="10" borderId="2" xfId="0" applyFont="1" applyFill="1" applyBorder="1" applyAlignment="1">
      <alignment horizontal="center" vertical="center" wrapText="1"/>
    </xf>
    <xf numFmtId="0" fontId="52" fillId="10" borderId="4" xfId="0" applyFont="1" applyFill="1" applyBorder="1" applyAlignment="1">
      <alignment horizontal="center" vertical="center"/>
    </xf>
    <xf numFmtId="0" fontId="52" fillId="10" borderId="5" xfId="0" applyFont="1" applyFill="1" applyBorder="1" applyAlignment="1">
      <alignment horizontal="center" vertical="center"/>
    </xf>
    <xf numFmtId="0" fontId="52" fillId="0" borderId="0" xfId="0" applyFont="1" applyAlignment="1">
      <alignment horizontal="center"/>
    </xf>
    <xf numFmtId="0" fontId="71" fillId="24" borderId="4" xfId="0" applyFont="1" applyFill="1" applyBorder="1" applyAlignment="1">
      <alignment horizontal="center" vertical="center" wrapText="1"/>
    </xf>
    <xf numFmtId="0" fontId="71" fillId="24" borderId="5" xfId="0" applyFont="1" applyFill="1" applyBorder="1" applyAlignment="1">
      <alignment horizontal="center" vertical="center" wrapText="1"/>
    </xf>
    <xf numFmtId="0" fontId="71" fillId="24" borderId="2" xfId="0" applyFont="1" applyFill="1" applyBorder="1" applyAlignment="1">
      <alignment horizontal="center" vertical="center" wrapText="1"/>
    </xf>
    <xf numFmtId="0" fontId="70" fillId="24" borderId="1" xfId="0" applyFont="1" applyFill="1" applyBorder="1" applyAlignment="1">
      <alignment horizontal="center" vertical="center" wrapText="1"/>
    </xf>
    <xf numFmtId="0" fontId="71" fillId="24" borderId="1" xfId="0" applyFont="1" applyFill="1" applyBorder="1" applyAlignment="1">
      <alignment horizontal="center" vertical="center" wrapText="1"/>
    </xf>
    <xf numFmtId="43" fontId="71" fillId="24" borderId="1" xfId="0" applyNumberFormat="1" applyFont="1" applyFill="1" applyBorder="1" applyAlignment="1">
      <alignment horizontal="right" vertical="center" wrapText="1"/>
    </xf>
    <xf numFmtId="0" fontId="71" fillId="24" borderId="1" xfId="0" applyFont="1" applyFill="1" applyBorder="1" applyAlignment="1">
      <alignment horizontal="right" vertical="center" wrapText="1"/>
    </xf>
    <xf numFmtId="0" fontId="70" fillId="25" borderId="1" xfId="0" applyFont="1" applyFill="1" applyBorder="1" applyAlignment="1">
      <alignment horizontal="center" vertical="center" wrapText="1"/>
    </xf>
    <xf numFmtId="43" fontId="70" fillId="25" borderId="1" xfId="0" applyNumberFormat="1" applyFont="1" applyFill="1" applyBorder="1" applyAlignment="1">
      <alignment horizontal="right" vertical="center" wrapText="1"/>
    </xf>
    <xf numFmtId="0" fontId="70" fillId="25" borderId="1" xfId="0" applyFont="1" applyFill="1" applyBorder="1" applyAlignment="1">
      <alignment horizontal="right" vertical="center" wrapText="1"/>
    </xf>
    <xf numFmtId="0" fontId="68" fillId="0" borderId="0" xfId="0" applyFont="1" applyAlignment="1">
      <alignment horizontal="left"/>
    </xf>
    <xf numFmtId="0" fontId="13" fillId="0" borderId="10" xfId="0" applyFont="1" applyFill="1" applyBorder="1" applyAlignment="1">
      <alignment horizontal="center" vertical="center" wrapText="1"/>
    </xf>
    <xf numFmtId="0" fontId="90" fillId="0" borderId="10" xfId="0" applyFont="1" applyBorder="1" applyAlignment="1">
      <alignment horizontal="center" vertical="center" wrapText="1"/>
    </xf>
    <xf numFmtId="0" fontId="71" fillId="24" borderId="12" xfId="0" applyFont="1" applyFill="1" applyBorder="1" applyAlignment="1">
      <alignment horizontal="center" vertical="center" wrapText="1"/>
    </xf>
    <xf numFmtId="0" fontId="71" fillId="24" borderId="10" xfId="0" applyFont="1" applyFill="1" applyBorder="1" applyAlignment="1">
      <alignment horizontal="center" vertical="center" wrapText="1"/>
    </xf>
  </cellXfs>
  <cellStyles count="437">
    <cellStyle name="Moeda 2" xfId="1"/>
    <cellStyle name="Moeda 2 2" xfId="2"/>
    <cellStyle name="Moeda 2 3" xfId="3"/>
    <cellStyle name="Moeda 3" xfId="4"/>
    <cellStyle name="Moeda 4" xfId="5"/>
    <cellStyle name="Normal" xfId="0" builtinId="0"/>
    <cellStyle name="Normal 10" xfId="6"/>
    <cellStyle name="Normal 11" xfId="7"/>
    <cellStyle name="Normal 11 2" xfId="8"/>
    <cellStyle name="Normal 11 3" xfId="9"/>
    <cellStyle name="Normal 12" xfId="10"/>
    <cellStyle name="Normal 13" xfId="11"/>
    <cellStyle name="Normal 14" xfId="12"/>
    <cellStyle name="Normal 15" xfId="13"/>
    <cellStyle name="Normal 2" xfId="14"/>
    <cellStyle name="Normal 2 10" xfId="15"/>
    <cellStyle name="Normal 2 11" xfId="16"/>
    <cellStyle name="Normal 2 12" xfId="17"/>
    <cellStyle name="Normal 2 13" xfId="18"/>
    <cellStyle name="Normal 2 14" xfId="19"/>
    <cellStyle name="Normal 2 15" xfId="20"/>
    <cellStyle name="Normal 2 16" xfId="21"/>
    <cellStyle name="Normal 2 17" xfId="22"/>
    <cellStyle name="Normal 2 18" xfId="23"/>
    <cellStyle name="Normal 2 19" xfId="24"/>
    <cellStyle name="Normal 2 2" xfId="25"/>
    <cellStyle name="Normal 2 2 10" xfId="26"/>
    <cellStyle name="Normal 2 2 11" xfId="27"/>
    <cellStyle name="Normal 2 2 12" xfId="28"/>
    <cellStyle name="Normal 2 2 13" xfId="29"/>
    <cellStyle name="Normal 2 2 14" xfId="30"/>
    <cellStyle name="Normal 2 2 15" xfId="31"/>
    <cellStyle name="Normal 2 2 16" xfId="32"/>
    <cellStyle name="Normal 2 2 17" xfId="33"/>
    <cellStyle name="Normal 2 2 18" xfId="34"/>
    <cellStyle name="Normal 2 2 19" xfId="35"/>
    <cellStyle name="Normal 2 2 2" xfId="36"/>
    <cellStyle name="Normal 2 2 20" xfId="37"/>
    <cellStyle name="Normal 2 2 3" xfId="38"/>
    <cellStyle name="Normal 2 2 4" xfId="39"/>
    <cellStyle name="Normal 2 2 5" xfId="40"/>
    <cellStyle name="Normal 2 2 6" xfId="41"/>
    <cellStyle name="Normal 2 2 7" xfId="42"/>
    <cellStyle name="Normal 2 2 8" xfId="43"/>
    <cellStyle name="Normal 2 2 9" xfId="44"/>
    <cellStyle name="Normal 2 20" xfId="45"/>
    <cellStyle name="Normal 2 21" xfId="46"/>
    <cellStyle name="Normal 2 22" xfId="47"/>
    <cellStyle name="Normal 2 23" xfId="48"/>
    <cellStyle name="Normal 2 24" xfId="49"/>
    <cellStyle name="Normal 2 25" xfId="50"/>
    <cellStyle name="Normal 2 26" xfId="51"/>
    <cellStyle name="Normal 2 27" xfId="52"/>
    <cellStyle name="Normal 2 3" xfId="53"/>
    <cellStyle name="Normal 2 3 10" xfId="54"/>
    <cellStyle name="Normal 2 3 11" xfId="55"/>
    <cellStyle name="Normal 2 3 12" xfId="56"/>
    <cellStyle name="Normal 2 3 13" xfId="57"/>
    <cellStyle name="Normal 2 3 14" xfId="58"/>
    <cellStyle name="Normal 2 3 15" xfId="59"/>
    <cellStyle name="Normal 2 3 16" xfId="60"/>
    <cellStyle name="Normal 2 3 17" xfId="61"/>
    <cellStyle name="Normal 2 3 18" xfId="62"/>
    <cellStyle name="Normal 2 3 19" xfId="63"/>
    <cellStyle name="Normal 2 3 2" xfId="64"/>
    <cellStyle name="Normal 2 3 20" xfId="65"/>
    <cellStyle name="Normal 2 3 3" xfId="66"/>
    <cellStyle name="Normal 2 3 4" xfId="67"/>
    <cellStyle name="Normal 2 3 5" xfId="68"/>
    <cellStyle name="Normal 2 3 6" xfId="69"/>
    <cellStyle name="Normal 2 3 7" xfId="70"/>
    <cellStyle name="Normal 2 3 8" xfId="71"/>
    <cellStyle name="Normal 2 3 9" xfId="72"/>
    <cellStyle name="Normal 2 4" xfId="73"/>
    <cellStyle name="Normal 2 4 10" xfId="74"/>
    <cellStyle name="Normal 2 4 11" xfId="75"/>
    <cellStyle name="Normal 2 4 12" xfId="76"/>
    <cellStyle name="Normal 2 4 13" xfId="77"/>
    <cellStyle name="Normal 2 4 14" xfId="78"/>
    <cellStyle name="Normal 2 4 15" xfId="79"/>
    <cellStyle name="Normal 2 4 16" xfId="80"/>
    <cellStyle name="Normal 2 4 17" xfId="81"/>
    <cellStyle name="Normal 2 4 18" xfId="82"/>
    <cellStyle name="Normal 2 4 19" xfId="83"/>
    <cellStyle name="Normal 2 4 2" xfId="84"/>
    <cellStyle name="Normal 2 4 20" xfId="85"/>
    <cellStyle name="Normal 2 4 3" xfId="86"/>
    <cellStyle name="Normal 2 4 4" xfId="87"/>
    <cellStyle name="Normal 2 4 5" xfId="88"/>
    <cellStyle name="Normal 2 4 6" xfId="89"/>
    <cellStyle name="Normal 2 4 7" xfId="90"/>
    <cellStyle name="Normal 2 4 8" xfId="91"/>
    <cellStyle name="Normal 2 4 9" xfId="92"/>
    <cellStyle name="Normal 2 5" xfId="93"/>
    <cellStyle name="Normal 2 5 10" xfId="94"/>
    <cellStyle name="Normal 2 5 11" xfId="95"/>
    <cellStyle name="Normal 2 5 12" xfId="96"/>
    <cellStyle name="Normal 2 5 13" xfId="97"/>
    <cellStyle name="Normal 2 5 14" xfId="98"/>
    <cellStyle name="Normal 2 5 15" xfId="99"/>
    <cellStyle name="Normal 2 5 16" xfId="100"/>
    <cellStyle name="Normal 2 5 17" xfId="101"/>
    <cellStyle name="Normal 2 5 18" xfId="102"/>
    <cellStyle name="Normal 2 5 19" xfId="103"/>
    <cellStyle name="Normal 2 5 2" xfId="104"/>
    <cellStyle name="Normal 2 5 20" xfId="105"/>
    <cellStyle name="Normal 2 5 3" xfId="106"/>
    <cellStyle name="Normal 2 5 4" xfId="107"/>
    <cellStyle name="Normal 2 5 5" xfId="108"/>
    <cellStyle name="Normal 2 5 6" xfId="109"/>
    <cellStyle name="Normal 2 5 7" xfId="110"/>
    <cellStyle name="Normal 2 5 8" xfId="111"/>
    <cellStyle name="Normal 2 5 9" xfId="112"/>
    <cellStyle name="Normal 2 6" xfId="113"/>
    <cellStyle name="Normal 2 6 10" xfId="114"/>
    <cellStyle name="Normal 2 6 11" xfId="115"/>
    <cellStyle name="Normal 2 6 12" xfId="116"/>
    <cellStyle name="Normal 2 6 13" xfId="117"/>
    <cellStyle name="Normal 2 6 14" xfId="118"/>
    <cellStyle name="Normal 2 6 15" xfId="119"/>
    <cellStyle name="Normal 2 6 16" xfId="120"/>
    <cellStyle name="Normal 2 6 17" xfId="121"/>
    <cellStyle name="Normal 2 6 18" xfId="122"/>
    <cellStyle name="Normal 2 6 19" xfId="123"/>
    <cellStyle name="Normal 2 6 2" xfId="124"/>
    <cellStyle name="Normal 2 6 20" xfId="125"/>
    <cellStyle name="Normal 2 6 3" xfId="126"/>
    <cellStyle name="Normal 2 6 4" xfId="127"/>
    <cellStyle name="Normal 2 6 5" xfId="128"/>
    <cellStyle name="Normal 2 6 6" xfId="129"/>
    <cellStyle name="Normal 2 6 7" xfId="130"/>
    <cellStyle name="Normal 2 6 8" xfId="131"/>
    <cellStyle name="Normal 2 6 9" xfId="132"/>
    <cellStyle name="Normal 2 7" xfId="133"/>
    <cellStyle name="Normal 2 7 10" xfId="134"/>
    <cellStyle name="Normal 2 7 11" xfId="135"/>
    <cellStyle name="Normal 2 7 12" xfId="136"/>
    <cellStyle name="Normal 2 7 13" xfId="137"/>
    <cellStyle name="Normal 2 7 14" xfId="138"/>
    <cellStyle name="Normal 2 7 15" xfId="139"/>
    <cellStyle name="Normal 2 7 16" xfId="140"/>
    <cellStyle name="Normal 2 7 17" xfId="141"/>
    <cellStyle name="Normal 2 7 18" xfId="142"/>
    <cellStyle name="Normal 2 7 19" xfId="143"/>
    <cellStyle name="Normal 2 7 2" xfId="144"/>
    <cellStyle name="Normal 2 7 20" xfId="145"/>
    <cellStyle name="Normal 2 7 3" xfId="146"/>
    <cellStyle name="Normal 2 7 4" xfId="147"/>
    <cellStyle name="Normal 2 7 5" xfId="148"/>
    <cellStyle name="Normal 2 7 6" xfId="149"/>
    <cellStyle name="Normal 2 7 7" xfId="150"/>
    <cellStyle name="Normal 2 7 8" xfId="151"/>
    <cellStyle name="Normal 2 7 9" xfId="152"/>
    <cellStyle name="Normal 2 8" xfId="153"/>
    <cellStyle name="Normal 2 9" xfId="154"/>
    <cellStyle name="Normal 2 9 2" xfId="155"/>
    <cellStyle name="Normal 2_Planilha Valença" xfId="156"/>
    <cellStyle name="Normal 29" xfId="157"/>
    <cellStyle name="Normal 29 2" xfId="158"/>
    <cellStyle name="Normal 29 3" xfId="159"/>
    <cellStyle name="Normal 3" xfId="160"/>
    <cellStyle name="Normal 3 10" xfId="161"/>
    <cellStyle name="Normal 3 11" xfId="162"/>
    <cellStyle name="Normal 3 12" xfId="163"/>
    <cellStyle name="Normal 3 13" xfId="164"/>
    <cellStyle name="Normal 3 14" xfId="165"/>
    <cellStyle name="Normal 3 15" xfId="166"/>
    <cellStyle name="Normal 3 16" xfId="167"/>
    <cellStyle name="Normal 3 17" xfId="168"/>
    <cellStyle name="Normal 3 18" xfId="169"/>
    <cellStyle name="Normal 3 19" xfId="170"/>
    <cellStyle name="Normal 3 2" xfId="171"/>
    <cellStyle name="Normal 3 2 2" xfId="172"/>
    <cellStyle name="Normal 3 2 3" xfId="173"/>
    <cellStyle name="Normal 3 20" xfId="174"/>
    <cellStyle name="Normal 3 21" xfId="175"/>
    <cellStyle name="Normal 3 21 2" xfId="176"/>
    <cellStyle name="Normal 3 21 3" xfId="177"/>
    <cellStyle name="Normal 3 22" xfId="178"/>
    <cellStyle name="Normal 3 3" xfId="179"/>
    <cellStyle name="Normal 3 4" xfId="180"/>
    <cellStyle name="Normal 3 5" xfId="181"/>
    <cellStyle name="Normal 3 6" xfId="182"/>
    <cellStyle name="Normal 3 7" xfId="183"/>
    <cellStyle name="Normal 3 8" xfId="184"/>
    <cellStyle name="Normal 3 9" xfId="185"/>
    <cellStyle name="Normal 4" xfId="186"/>
    <cellStyle name="Normal 4 10" xfId="187"/>
    <cellStyle name="Normal 4 11" xfId="188"/>
    <cellStyle name="Normal 4 12" xfId="189"/>
    <cellStyle name="Normal 4 13" xfId="190"/>
    <cellStyle name="Normal 4 14" xfId="191"/>
    <cellStyle name="Normal 4 15" xfId="192"/>
    <cellStyle name="Normal 4 16" xfId="193"/>
    <cellStyle name="Normal 4 17" xfId="194"/>
    <cellStyle name="Normal 4 18" xfId="195"/>
    <cellStyle name="Normal 4 19" xfId="196"/>
    <cellStyle name="Normal 4 2" xfId="197"/>
    <cellStyle name="Normal 4 2 3 2" xfId="198"/>
    <cellStyle name="Normal 4 2 3 2 2" xfId="199"/>
    <cellStyle name="Normal 4 2 3 2 3" xfId="200"/>
    <cellStyle name="Normal 4 20" xfId="201"/>
    <cellStyle name="Normal 4 3" xfId="202"/>
    <cellStyle name="Normal 4 4" xfId="203"/>
    <cellStyle name="Normal 4 5" xfId="204"/>
    <cellStyle name="Normal 4 6" xfId="205"/>
    <cellStyle name="Normal 4 7" xfId="206"/>
    <cellStyle name="Normal 4 8" xfId="207"/>
    <cellStyle name="Normal 4 9" xfId="208"/>
    <cellStyle name="Normal 5" xfId="209"/>
    <cellStyle name="Normal 5 10" xfId="210"/>
    <cellStyle name="Normal 5 11" xfId="211"/>
    <cellStyle name="Normal 5 12" xfId="212"/>
    <cellStyle name="Normal 5 13" xfId="213"/>
    <cellStyle name="Normal 5 14" xfId="214"/>
    <cellStyle name="Normal 5 15" xfId="215"/>
    <cellStyle name="Normal 5 16" xfId="216"/>
    <cellStyle name="Normal 5 17" xfId="217"/>
    <cellStyle name="Normal 5 18" xfId="218"/>
    <cellStyle name="Normal 5 19" xfId="219"/>
    <cellStyle name="Normal 5 2" xfId="220"/>
    <cellStyle name="Normal 5 20" xfId="221"/>
    <cellStyle name="Normal 5 3" xfId="222"/>
    <cellStyle name="Normal 5 4" xfId="223"/>
    <cellStyle name="Normal 5 5" xfId="224"/>
    <cellStyle name="Normal 5 6" xfId="225"/>
    <cellStyle name="Normal 5 7" xfId="226"/>
    <cellStyle name="Normal 5 8" xfId="227"/>
    <cellStyle name="Normal 5 9" xfId="228"/>
    <cellStyle name="Normal 6" xfId="229"/>
    <cellStyle name="Normal 6 10" xfId="230"/>
    <cellStyle name="Normal 6 11" xfId="231"/>
    <cellStyle name="Normal 6 12" xfId="232"/>
    <cellStyle name="Normal 6 13" xfId="233"/>
    <cellStyle name="Normal 6 14" xfId="234"/>
    <cellStyle name="Normal 6 15" xfId="235"/>
    <cellStyle name="Normal 6 16" xfId="236"/>
    <cellStyle name="Normal 6 17" xfId="237"/>
    <cellStyle name="Normal 6 18" xfId="238"/>
    <cellStyle name="Normal 6 19" xfId="239"/>
    <cellStyle name="Normal 6 2" xfId="240"/>
    <cellStyle name="Normal 6 20" xfId="241"/>
    <cellStyle name="Normal 6 3" xfId="242"/>
    <cellStyle name="Normal 6 4" xfId="243"/>
    <cellStyle name="Normal 6 5" xfId="244"/>
    <cellStyle name="Normal 6 6" xfId="245"/>
    <cellStyle name="Normal 6 7" xfId="246"/>
    <cellStyle name="Normal 6 8" xfId="247"/>
    <cellStyle name="Normal 6 9" xfId="248"/>
    <cellStyle name="Normal 7" xfId="249"/>
    <cellStyle name="Normal 7 10" xfId="250"/>
    <cellStyle name="Normal 7 11" xfId="251"/>
    <cellStyle name="Normal 7 12" xfId="252"/>
    <cellStyle name="Normal 7 13" xfId="253"/>
    <cellStyle name="Normal 7 14" xfId="254"/>
    <cellStyle name="Normal 7 15" xfId="255"/>
    <cellStyle name="Normal 7 16" xfId="256"/>
    <cellStyle name="Normal 7 17" xfId="257"/>
    <cellStyle name="Normal 7 18" xfId="258"/>
    <cellStyle name="Normal 7 19" xfId="259"/>
    <cellStyle name="Normal 7 2" xfId="260"/>
    <cellStyle name="Normal 7 20" xfId="261"/>
    <cellStyle name="Normal 7 3" xfId="262"/>
    <cellStyle name="Normal 7 4" xfId="263"/>
    <cellStyle name="Normal 7 5" xfId="264"/>
    <cellStyle name="Normal 7 6" xfId="265"/>
    <cellStyle name="Normal 7 7" xfId="266"/>
    <cellStyle name="Normal 7 8" xfId="267"/>
    <cellStyle name="Normal 7 9" xfId="268"/>
    <cellStyle name="Normal 8" xfId="269"/>
    <cellStyle name="Normal 9" xfId="270"/>
    <cellStyle name="Normal_Planilha Elesbão Veloso - Urgência e Acesso Lavanderia" xfId="271"/>
    <cellStyle name="Porcentagem" xfId="272" builtinId="5"/>
    <cellStyle name="Porcentagem 14" xfId="273"/>
    <cellStyle name="Porcentagem 2" xfId="274"/>
    <cellStyle name="Porcentagem 2 2" xfId="275"/>
    <cellStyle name="Porcentagem 2 2 2" xfId="276"/>
    <cellStyle name="Porcentagem 2 2 3" xfId="277"/>
    <cellStyle name="Porcentagem 2 2 4" xfId="278"/>
    <cellStyle name="Porcentagem 2 3" xfId="279"/>
    <cellStyle name="Porcentagem 3" xfId="280"/>
    <cellStyle name="Porcentagem 3 2" xfId="281"/>
    <cellStyle name="Porcentagem 4" xfId="282"/>
    <cellStyle name="Separador de milhares 10" xfId="283"/>
    <cellStyle name="Separador de milhares 10 2" xfId="284"/>
    <cellStyle name="Separador de milhares 10 3" xfId="285"/>
    <cellStyle name="Separador de milhares 11" xfId="286"/>
    <cellStyle name="Separador de milhares 12" xfId="287"/>
    <cellStyle name="Separador de milhares 13" xfId="288"/>
    <cellStyle name="Separador de milhares 14" xfId="289"/>
    <cellStyle name="Separador de milhares 2" xfId="290"/>
    <cellStyle name="Separador de milhares 2 10" xfId="291"/>
    <cellStyle name="Separador de milhares 2 11" xfId="292"/>
    <cellStyle name="Separador de milhares 2 12" xfId="293"/>
    <cellStyle name="Separador de milhares 2 13" xfId="294"/>
    <cellStyle name="Separador de milhares 2 14" xfId="295"/>
    <cellStyle name="Separador de milhares 2 15" xfId="296"/>
    <cellStyle name="Separador de milhares 2 16" xfId="297"/>
    <cellStyle name="Separador de milhares 2 17" xfId="298"/>
    <cellStyle name="Separador de milhares 2 18" xfId="299"/>
    <cellStyle name="Separador de milhares 2 19" xfId="300"/>
    <cellStyle name="Separador de milhares 2 2" xfId="301"/>
    <cellStyle name="Separador de milhares 2 2 2" xfId="302"/>
    <cellStyle name="Separador de milhares 2 2 3" xfId="303"/>
    <cellStyle name="Separador de milhares 2 20" xfId="304"/>
    <cellStyle name="Separador de milhares 2 21" xfId="305"/>
    <cellStyle name="Separador de milhares 2 3" xfId="306"/>
    <cellStyle name="Separador de milhares 2 3 2" xfId="307"/>
    <cellStyle name="Separador de milhares 2 4" xfId="308"/>
    <cellStyle name="Separador de milhares 2 4 2" xfId="309"/>
    <cellStyle name="Separador de milhares 2 5" xfId="310"/>
    <cellStyle name="Separador de milhares 2 6" xfId="311"/>
    <cellStyle name="Separador de milhares 2 7" xfId="312"/>
    <cellStyle name="Separador de milhares 2 8" xfId="313"/>
    <cellStyle name="Separador de milhares 2 9" xfId="314"/>
    <cellStyle name="Separador de milhares 29" xfId="315"/>
    <cellStyle name="Separador de milhares 3" xfId="316"/>
    <cellStyle name="Separador de milhares 3 10" xfId="317"/>
    <cellStyle name="Separador de milhares 3 11" xfId="318"/>
    <cellStyle name="Separador de milhares 3 12" xfId="319"/>
    <cellStyle name="Separador de milhares 3 13" xfId="320"/>
    <cellStyle name="Separador de milhares 3 14" xfId="321"/>
    <cellStyle name="Separador de milhares 3 15" xfId="322"/>
    <cellStyle name="Separador de milhares 3 16" xfId="323"/>
    <cellStyle name="Separador de milhares 3 17" xfId="324"/>
    <cellStyle name="Separador de milhares 3 18" xfId="325"/>
    <cellStyle name="Separador de milhares 3 19" xfId="326"/>
    <cellStyle name="Separador de milhares 3 2" xfId="327"/>
    <cellStyle name="Separador de milhares 3 20" xfId="328"/>
    <cellStyle name="Separador de milhares 3 21" xfId="329"/>
    <cellStyle name="Separador de milhares 3 3" xfId="330"/>
    <cellStyle name="Separador de milhares 3 4" xfId="331"/>
    <cellStyle name="Separador de milhares 3 5" xfId="332"/>
    <cellStyle name="Separador de milhares 3 6" xfId="333"/>
    <cellStyle name="Separador de milhares 3 7" xfId="334"/>
    <cellStyle name="Separador de milhares 3 8" xfId="335"/>
    <cellStyle name="Separador de milhares 3 9" xfId="336"/>
    <cellStyle name="Separador de milhares 4" xfId="337"/>
    <cellStyle name="Separador de milhares 4 10" xfId="338"/>
    <cellStyle name="Separador de milhares 4 11" xfId="339"/>
    <cellStyle name="Separador de milhares 4 12" xfId="340"/>
    <cellStyle name="Separador de milhares 4 13" xfId="341"/>
    <cellStyle name="Separador de milhares 4 14" xfId="342"/>
    <cellStyle name="Separador de milhares 4 15" xfId="343"/>
    <cellStyle name="Separador de milhares 4 16" xfId="344"/>
    <cellStyle name="Separador de milhares 4 17" xfId="345"/>
    <cellStyle name="Separador de milhares 4 18" xfId="346"/>
    <cellStyle name="Separador de milhares 4 19" xfId="347"/>
    <cellStyle name="Separador de milhares 4 2" xfId="348"/>
    <cellStyle name="Separador de milhares 4 20" xfId="349"/>
    <cellStyle name="Separador de milhares 4 21" xfId="350"/>
    <cellStyle name="Separador de milhares 4 3" xfId="351"/>
    <cellStyle name="Separador de milhares 4 4" xfId="352"/>
    <cellStyle name="Separador de milhares 4 5" xfId="353"/>
    <cellStyle name="Separador de milhares 4 6" xfId="354"/>
    <cellStyle name="Separador de milhares 4 7" xfId="355"/>
    <cellStyle name="Separador de milhares 4 8" xfId="356"/>
    <cellStyle name="Separador de milhares 4 9" xfId="357"/>
    <cellStyle name="Separador de milhares 5" xfId="358"/>
    <cellStyle name="Separador de milhares 5 10" xfId="359"/>
    <cellStyle name="Separador de milhares 5 11" xfId="360"/>
    <cellStyle name="Separador de milhares 5 12" xfId="361"/>
    <cellStyle name="Separador de milhares 5 13" xfId="362"/>
    <cellStyle name="Separador de milhares 5 14" xfId="363"/>
    <cellStyle name="Separador de milhares 5 15" xfId="364"/>
    <cellStyle name="Separador de milhares 5 16" xfId="365"/>
    <cellStyle name="Separador de milhares 5 17" xfId="366"/>
    <cellStyle name="Separador de milhares 5 18" xfId="367"/>
    <cellStyle name="Separador de milhares 5 19" xfId="368"/>
    <cellStyle name="Separador de milhares 5 2" xfId="369"/>
    <cellStyle name="Separador de milhares 5 20" xfId="370"/>
    <cellStyle name="Separador de milhares 5 21" xfId="371"/>
    <cellStyle name="Separador de milhares 5 3" xfId="372"/>
    <cellStyle name="Separador de milhares 5 4" xfId="373"/>
    <cellStyle name="Separador de milhares 5 5" xfId="374"/>
    <cellStyle name="Separador de milhares 5 6" xfId="375"/>
    <cellStyle name="Separador de milhares 5 7" xfId="376"/>
    <cellStyle name="Separador de milhares 5 8" xfId="377"/>
    <cellStyle name="Separador de milhares 5 9" xfId="378"/>
    <cellStyle name="Separador de milhares 6" xfId="379"/>
    <cellStyle name="Separador de milhares 6 10" xfId="380"/>
    <cellStyle name="Separador de milhares 6 11" xfId="381"/>
    <cellStyle name="Separador de milhares 6 12" xfId="382"/>
    <cellStyle name="Separador de milhares 6 13" xfId="383"/>
    <cellStyle name="Separador de milhares 6 14" xfId="384"/>
    <cellStyle name="Separador de milhares 6 15" xfId="385"/>
    <cellStyle name="Separador de milhares 6 16" xfId="386"/>
    <cellStyle name="Separador de milhares 6 17" xfId="387"/>
    <cellStyle name="Separador de milhares 6 18" xfId="388"/>
    <cellStyle name="Separador de milhares 6 19" xfId="389"/>
    <cellStyle name="Separador de milhares 6 2" xfId="390"/>
    <cellStyle name="Separador de milhares 6 20" xfId="391"/>
    <cellStyle name="Separador de milhares 6 21" xfId="392"/>
    <cellStyle name="Separador de milhares 6 3" xfId="393"/>
    <cellStyle name="Separador de milhares 6 4" xfId="394"/>
    <cellStyle name="Separador de milhares 6 5" xfId="395"/>
    <cellStyle name="Separador de milhares 6 6" xfId="396"/>
    <cellStyle name="Separador de milhares 6 7" xfId="397"/>
    <cellStyle name="Separador de milhares 6 8" xfId="398"/>
    <cellStyle name="Separador de milhares 6 9" xfId="399"/>
    <cellStyle name="Separador de milhares 7" xfId="400"/>
    <cellStyle name="Separador de milhares 7 10" xfId="401"/>
    <cellStyle name="Separador de milhares 7 11" xfId="402"/>
    <cellStyle name="Separador de milhares 7 12" xfId="403"/>
    <cellStyle name="Separador de milhares 7 13" xfId="404"/>
    <cellStyle name="Separador de milhares 7 14" xfId="405"/>
    <cellStyle name="Separador de milhares 7 15" xfId="406"/>
    <cellStyle name="Separador de milhares 7 16" xfId="407"/>
    <cellStyle name="Separador de milhares 7 17" xfId="408"/>
    <cellStyle name="Separador de milhares 7 18" xfId="409"/>
    <cellStyle name="Separador de milhares 7 19" xfId="410"/>
    <cellStyle name="Separador de milhares 7 2" xfId="411"/>
    <cellStyle name="Separador de milhares 7 20" xfId="412"/>
    <cellStyle name="Separador de milhares 7 21" xfId="413"/>
    <cellStyle name="Separador de milhares 7 3" xfId="414"/>
    <cellStyle name="Separador de milhares 7 4" xfId="415"/>
    <cellStyle name="Separador de milhares 7 5" xfId="416"/>
    <cellStyle name="Separador de milhares 7 6" xfId="417"/>
    <cellStyle name="Separador de milhares 7 7" xfId="418"/>
    <cellStyle name="Separador de milhares 7 8" xfId="419"/>
    <cellStyle name="Separador de milhares 7 9" xfId="420"/>
    <cellStyle name="Separador de milhares 8" xfId="421"/>
    <cellStyle name="Separador de milhares 8 2" xfId="422"/>
    <cellStyle name="Separador de milhares 9" xfId="423"/>
    <cellStyle name="Separador de milhares 9 2" xfId="424"/>
    <cellStyle name="Separador de milhares 9 2 2" xfId="425"/>
    <cellStyle name="Separador de milhares 9 2 3" xfId="426"/>
    <cellStyle name="Separador de milhares 9 2 4" xfId="427"/>
    <cellStyle name="Separador de milhares 9 3" xfId="428"/>
    <cellStyle name="Vírgula" xfId="429" builtinId="3"/>
    <cellStyle name="Vírgula 2" xfId="430"/>
    <cellStyle name="Vírgula 2 2" xfId="431"/>
    <cellStyle name="Vírgula 2 2 2" xfId="432"/>
    <cellStyle name="Vírgula 2 3" xfId="433"/>
    <cellStyle name="Vírgula 2 4" xfId="434"/>
    <cellStyle name="Vírgula 3" xfId="435"/>
    <cellStyle name="Vírgula 4" xfId="436"/>
  </cellStyles>
  <dxfs count="888"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</font>
      <fill>
        <patternFill>
          <bgColor theme="7" tint="0.39994506668294322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  <dxf>
      <font>
        <b/>
        <i val="0"/>
        <color rgb="FF0000FF"/>
      </font>
      <fill>
        <patternFill patternType="gray0625">
          <fgColor indexed="64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0</xdr:row>
      <xdr:rowOff>28575</xdr:rowOff>
    </xdr:from>
    <xdr:to>
      <xdr:col>2</xdr:col>
      <xdr:colOff>95250</xdr:colOff>
      <xdr:row>5</xdr:row>
      <xdr:rowOff>180975</xdr:rowOff>
    </xdr:to>
    <xdr:pic>
      <xdr:nvPicPr>
        <xdr:cNvPr id="2214" name="Imagem 3" descr="C:\Users\SESAPI\Desktop\brasao-governo-do-piaui2015.png">
          <a:extLst>
            <a:ext uri="{FF2B5EF4-FFF2-40B4-BE49-F238E27FC236}">
              <a16:creationId xmlns:a16="http://schemas.microsoft.com/office/drawing/2014/main" xmlns="" id="{5BFA2D04-AD2C-4432-9D37-4EC23A214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8575"/>
          <a:ext cx="132397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1304925</xdr:colOff>
      <xdr:row>1</xdr:row>
      <xdr:rowOff>19050</xdr:rowOff>
    </xdr:from>
    <xdr:to>
      <xdr:col>1</xdr:col>
      <xdr:colOff>2486025</xdr:colOff>
      <xdr:row>6</xdr:row>
      <xdr:rowOff>28575</xdr:rowOff>
    </xdr:to>
    <xdr:pic>
      <xdr:nvPicPr>
        <xdr:cNvPr id="3230" name="Imagem 3" descr="C:\Users\SESAPI\Desktop\brasao-governo-do-piaui2015.png">
          <a:extLst>
            <a:ext uri="{FF2B5EF4-FFF2-40B4-BE49-F238E27FC236}">
              <a16:creationId xmlns:a16="http://schemas.microsoft.com/office/drawing/2014/main" xmlns="" id="{116FF19E-4957-4A89-9221-9D2AA890C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200025"/>
          <a:ext cx="1181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</xdr:colOff>
      <xdr:row>69</xdr:row>
      <xdr:rowOff>95250</xdr:rowOff>
    </xdr:from>
    <xdr:to>
      <xdr:col>17</xdr:col>
      <xdr:colOff>304800</xdr:colOff>
      <xdr:row>100</xdr:row>
      <xdr:rowOff>133350</xdr:rowOff>
    </xdr:to>
    <xdr:pic>
      <xdr:nvPicPr>
        <xdr:cNvPr id="7238" name="Picture 1">
          <a:extLst>
            <a:ext uri="{FF2B5EF4-FFF2-40B4-BE49-F238E27FC236}">
              <a16:creationId xmlns:a16="http://schemas.microsoft.com/office/drawing/2014/main" xmlns="" id="{1A27B732-8B23-4C95-A94A-427F70B52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7975" y="16278225"/>
          <a:ext cx="8915400" cy="623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371475</xdr:colOff>
      <xdr:row>25</xdr:row>
      <xdr:rowOff>0</xdr:rowOff>
    </xdr:from>
    <xdr:to>
      <xdr:col>26</xdr:col>
      <xdr:colOff>419101</xdr:colOff>
      <xdr:row>43</xdr:row>
      <xdr:rowOff>233627</xdr:rowOff>
    </xdr:to>
    <xdr:pic>
      <xdr:nvPicPr>
        <xdr:cNvPr id="7239" name="Imagem 3">
          <a:extLst>
            <a:ext uri="{FF2B5EF4-FFF2-40B4-BE49-F238E27FC236}">
              <a16:creationId xmlns:a16="http://schemas.microsoft.com/office/drawing/2014/main" xmlns="" id="{CF2CBBCD-B69A-499D-823E-2D6BB4D85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8558" y="4687358"/>
          <a:ext cx="7614709" cy="4605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617008</xdr:colOff>
      <xdr:row>6</xdr:row>
      <xdr:rowOff>175684</xdr:rowOff>
    </xdr:from>
    <xdr:to>
      <xdr:col>25</xdr:col>
      <xdr:colOff>1058</xdr:colOff>
      <xdr:row>22</xdr:row>
      <xdr:rowOff>137584</xdr:rowOff>
    </xdr:to>
    <xdr:pic>
      <xdr:nvPicPr>
        <xdr:cNvPr id="7240" name="Imagem 4">
          <a:extLst>
            <a:ext uri="{FF2B5EF4-FFF2-40B4-BE49-F238E27FC236}">
              <a16:creationId xmlns:a16="http://schemas.microsoft.com/office/drawing/2014/main" xmlns="" id="{8958C183-DE10-46E3-AA6F-6DFAF1977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58258" y="1339851"/>
          <a:ext cx="7633759" cy="2956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45</xdr:row>
      <xdr:rowOff>104775</xdr:rowOff>
    </xdr:from>
    <xdr:to>
      <xdr:col>20</xdr:col>
      <xdr:colOff>238126</xdr:colOff>
      <xdr:row>59</xdr:row>
      <xdr:rowOff>135732</xdr:rowOff>
    </xdr:to>
    <xdr:pic>
      <xdr:nvPicPr>
        <xdr:cNvPr id="7241" name="Imagem 5">
          <a:extLst>
            <a:ext uri="{FF2B5EF4-FFF2-40B4-BE49-F238E27FC236}">
              <a16:creationId xmlns:a16="http://schemas.microsoft.com/office/drawing/2014/main" xmlns="" id="{737B8831-0A20-4697-8023-3CEC9EBD7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9725025"/>
          <a:ext cx="7562850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2087126</xdr:colOff>
      <xdr:row>2</xdr:row>
      <xdr:rowOff>11076</xdr:rowOff>
    </xdr:from>
    <xdr:to>
      <xdr:col>2</xdr:col>
      <xdr:colOff>1246843</xdr:colOff>
      <xdr:row>8</xdr:row>
      <xdr:rowOff>0</xdr:rowOff>
    </xdr:to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xmlns="" id="{F00E7BF3-5966-485F-A0B5-70E0C50C4952}"/>
            </a:ext>
          </a:extLst>
        </xdr:cNvPr>
        <xdr:cNvSpPr txBox="1">
          <a:spLocks noChangeArrowheads="1"/>
        </xdr:cNvSpPr>
      </xdr:nvSpPr>
      <xdr:spPr bwMode="auto">
        <a:xfrm>
          <a:off x="2696726" y="376836"/>
          <a:ext cx="1826717" cy="1131924"/>
        </a:xfrm>
        <a:prstGeom prst="rect">
          <a:avLst/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pt-BR" sz="1800" b="1" i="0" strike="noStrike">
              <a:solidFill>
                <a:srgbClr val="000000"/>
              </a:solidFill>
              <a:latin typeface="Arial Narrow"/>
            </a:rPr>
            <a:t>Secretaria Estadual  da Saúde</a:t>
          </a:r>
        </a:p>
      </xdr:txBody>
    </xdr:sp>
    <xdr:clientData/>
  </xdr:twoCellAnchor>
  <xdr:twoCellAnchor editAs="oneCell">
    <xdr:from>
      <xdr:col>1</xdr:col>
      <xdr:colOff>285750</xdr:colOff>
      <xdr:row>2</xdr:row>
      <xdr:rowOff>47625</xdr:rowOff>
    </xdr:from>
    <xdr:to>
      <xdr:col>1</xdr:col>
      <xdr:colOff>1838325</xdr:colOff>
      <xdr:row>7</xdr:row>
      <xdr:rowOff>142875</xdr:rowOff>
    </xdr:to>
    <xdr:pic>
      <xdr:nvPicPr>
        <xdr:cNvPr id="7243" name="Imagem 9" descr="C:\Users\SESAPI\Desktop\brasao-governo-do-piaui2015.png">
          <a:extLst>
            <a:ext uri="{FF2B5EF4-FFF2-40B4-BE49-F238E27FC236}">
              <a16:creationId xmlns:a16="http://schemas.microsoft.com/office/drawing/2014/main" xmlns="" id="{18A893FA-4F60-4596-97DE-9A1C35AF3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667" y="449792"/>
          <a:ext cx="15525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1090084</xdr:colOff>
      <xdr:row>26</xdr:row>
      <xdr:rowOff>137582</xdr:rowOff>
    </xdr:from>
    <xdr:to>
      <xdr:col>6</xdr:col>
      <xdr:colOff>4935</xdr:colOff>
      <xdr:row>36</xdr:row>
      <xdr:rowOff>40504</xdr:rowOff>
    </xdr:to>
    <xdr:pic>
      <xdr:nvPicPr>
        <xdr:cNvPr id="8" name="Objeto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31" t="-5362" r="-3528" b="-29993"/>
        <a:stretch>
          <a:fillRect/>
        </a:stretch>
      </xdr:blipFill>
      <xdr:spPr bwMode="auto">
        <a:xfrm>
          <a:off x="1778001" y="5746749"/>
          <a:ext cx="5502976" cy="2337088"/>
        </a:xfrm>
        <a:prstGeom prst="rect">
          <a:avLst/>
        </a:prstGeom>
        <a:noFill/>
        <a:ln w="63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47625</xdr:rowOff>
    </xdr:from>
    <xdr:to>
      <xdr:col>2</xdr:col>
      <xdr:colOff>542925</xdr:colOff>
      <xdr:row>6</xdr:row>
      <xdr:rowOff>47625</xdr:rowOff>
    </xdr:to>
    <xdr:pic>
      <xdr:nvPicPr>
        <xdr:cNvPr id="4253" name="Imagem 2" descr="C:\Users\SESAPI\Desktop\brasao-governo-do-piaui2015.png">
          <a:extLst>
            <a:ext uri="{FF2B5EF4-FFF2-40B4-BE49-F238E27FC236}">
              <a16:creationId xmlns:a16="http://schemas.microsoft.com/office/drawing/2014/main" xmlns="" id="{C6639D44-A867-4842-A797-88B284249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38125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yfran/Documents/1.SESAPI/Hospital%20de%20Picos/PLANILHA%20-%20SERVI&#199;OS%20COMPLEMENTARES%20-%20TERREO%20-%20FGV%20-%20RAYFR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AppData/Roaming/Microsoft/Suplementos/VExtenso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 - TERREO"/>
      <sheetName val="MEMORIA - 1º PAV"/>
      <sheetName val="MEMORIA - 2º PAV"/>
      <sheetName val="MEMORIA - COBERTURA"/>
      <sheetName val="Planilha - Terreo"/>
      <sheetName val="Planilha - 1º PAV"/>
      <sheetName val="Planilha - 2º PAV"/>
      <sheetName val="Planilha - Cobertura"/>
      <sheetName val="Composição"/>
      <sheetName val="Plan1"/>
    </sheetNames>
    <sheetDataSet>
      <sheetData sheetId="0" refreshError="1"/>
      <sheetData sheetId="1" refreshError="1"/>
      <sheetData sheetId="2" refreshError="1">
        <row r="34">
          <cell r="P34">
            <v>149.04000000000002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0">
          <cell r="J10">
            <v>8768.0400000000009</v>
          </cell>
        </row>
        <row r="11">
          <cell r="J11">
            <v>2939.17</v>
          </cell>
        </row>
        <row r="13">
          <cell r="J13">
            <v>8394.369999999999</v>
          </cell>
        </row>
        <row r="15">
          <cell r="J15">
            <v>124.5</v>
          </cell>
        </row>
        <row r="16">
          <cell r="J16">
            <v>308.5</v>
          </cell>
        </row>
        <row r="17">
          <cell r="J17">
            <v>433</v>
          </cell>
        </row>
        <row r="18">
          <cell r="J18">
            <v>438.60000000000008</v>
          </cell>
        </row>
        <row r="19">
          <cell r="J19">
            <v>344.07000000000011</v>
          </cell>
        </row>
        <row r="22">
          <cell r="J22">
            <v>43.14</v>
          </cell>
        </row>
        <row r="23">
          <cell r="J23">
            <v>43.14</v>
          </cell>
        </row>
        <row r="24">
          <cell r="J24">
            <v>0</v>
          </cell>
        </row>
        <row r="25">
          <cell r="J25">
            <v>26.98</v>
          </cell>
        </row>
        <row r="26">
          <cell r="J26">
            <v>26.98</v>
          </cell>
        </row>
        <row r="27">
          <cell r="J27">
            <v>0</v>
          </cell>
        </row>
        <row r="28">
          <cell r="J28">
            <v>51.66</v>
          </cell>
        </row>
        <row r="29">
          <cell r="J29">
            <v>51.66</v>
          </cell>
        </row>
        <row r="31">
          <cell r="J31">
            <v>1464.1</v>
          </cell>
        </row>
        <row r="32">
          <cell r="J32">
            <v>490.6</v>
          </cell>
        </row>
        <row r="33">
          <cell r="J33">
            <v>10969.2</v>
          </cell>
        </row>
        <row r="34">
          <cell r="J34">
            <v>2323.1999999999998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definedNames>
      <definedName name="VExtenso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K489"/>
  <sheetViews>
    <sheetView zoomScale="110" zoomScaleNormal="110" workbookViewId="0">
      <selection activeCell="C10" sqref="C10"/>
    </sheetView>
  </sheetViews>
  <sheetFormatPr defaultRowHeight="15.75" x14ac:dyDescent="0.25"/>
  <cols>
    <col min="1" max="1" width="3.375" style="1" customWidth="1"/>
    <col min="2" max="2" width="9" style="1"/>
    <col min="3" max="3" width="45.75" style="1" customWidth="1"/>
    <col min="4" max="7" width="12.625" style="1" customWidth="1"/>
    <col min="8" max="10" width="12.625" style="76" customWidth="1"/>
    <col min="11" max="16384" width="9" style="1"/>
  </cols>
  <sheetData>
    <row r="1" spans="1:11" ht="16.5" thickBot="1" x14ac:dyDescent="0.3">
      <c r="A1" s="2" t="s">
        <v>0</v>
      </c>
      <c r="B1" s="3"/>
      <c r="C1" s="2"/>
      <c r="D1" s="2"/>
      <c r="E1" s="2"/>
      <c r="F1" s="2"/>
      <c r="G1" s="2"/>
      <c r="H1" s="9"/>
      <c r="I1" s="9"/>
      <c r="J1" s="9"/>
      <c r="K1" s="2"/>
    </row>
    <row r="2" spans="1:11" x14ac:dyDescent="0.25">
      <c r="A2" s="2"/>
      <c r="B2" s="25"/>
      <c r="C2" s="26"/>
      <c r="D2" s="26"/>
      <c r="E2" s="26"/>
      <c r="F2" s="26"/>
      <c r="G2" s="26"/>
      <c r="H2" s="55"/>
      <c r="I2" s="55"/>
      <c r="J2" s="56"/>
      <c r="K2" s="2"/>
    </row>
    <row r="3" spans="1:11" ht="18" x14ac:dyDescent="0.25">
      <c r="A3" s="2"/>
      <c r="B3" s="722" t="s">
        <v>1</v>
      </c>
      <c r="C3" s="723"/>
      <c r="D3" s="723"/>
      <c r="E3" s="723"/>
      <c r="F3" s="723"/>
      <c r="G3" s="723"/>
      <c r="H3" s="723"/>
      <c r="I3" s="723"/>
      <c r="J3" s="724"/>
      <c r="K3" s="2"/>
    </row>
    <row r="4" spans="1:11" ht="18" x14ac:dyDescent="0.25">
      <c r="A4" s="2"/>
      <c r="B4" s="646"/>
      <c r="C4" s="647"/>
      <c r="D4" s="647"/>
      <c r="E4" s="647"/>
      <c r="F4" s="647"/>
      <c r="G4" s="647"/>
      <c r="H4" s="57"/>
      <c r="I4" s="57"/>
      <c r="J4" s="58"/>
      <c r="K4" s="2"/>
    </row>
    <row r="5" spans="1:11" ht="18" x14ac:dyDescent="0.25">
      <c r="A5" s="2"/>
      <c r="B5" s="646"/>
      <c r="C5" s="59" t="s">
        <v>2</v>
      </c>
      <c r="D5" s="124" t="s">
        <v>3</v>
      </c>
      <c r="E5" s="124" t="s">
        <v>4</v>
      </c>
      <c r="F5" s="124" t="s">
        <v>5</v>
      </c>
      <c r="G5" s="61"/>
      <c r="H5" s="124" t="s">
        <v>6</v>
      </c>
      <c r="I5" s="125" t="s">
        <v>7</v>
      </c>
      <c r="J5" s="58"/>
      <c r="K5" s="2"/>
    </row>
    <row r="6" spans="1:11" ht="18" x14ac:dyDescent="0.25">
      <c r="A6" s="2"/>
      <c r="B6" s="646"/>
      <c r="C6" s="63" t="s">
        <v>8</v>
      </c>
      <c r="D6" s="64"/>
      <c r="E6" s="64"/>
      <c r="F6" s="64"/>
      <c r="G6" s="65"/>
      <c r="H6" s="66"/>
      <c r="I6" s="67"/>
      <c r="J6" s="58"/>
      <c r="K6" s="2"/>
    </row>
    <row r="7" spans="1:11" ht="18" x14ac:dyDescent="0.25">
      <c r="A7" s="2"/>
      <c r="B7" s="646"/>
      <c r="C7" s="31" t="s">
        <v>9</v>
      </c>
      <c r="D7" s="68" t="s">
        <v>10</v>
      </c>
      <c r="E7" s="68" t="s">
        <v>11</v>
      </c>
      <c r="F7" s="68" t="s">
        <v>12</v>
      </c>
      <c r="G7" s="68"/>
      <c r="H7" s="68">
        <f>I39+I60</f>
        <v>3</v>
      </c>
      <c r="I7" s="68">
        <f>J39+J60</f>
        <v>12.600000000000001</v>
      </c>
      <c r="J7" s="69"/>
      <c r="K7" s="2"/>
    </row>
    <row r="8" spans="1:11" ht="18" x14ac:dyDescent="0.25">
      <c r="A8" s="2"/>
      <c r="B8" s="646"/>
      <c r="C8" s="31" t="s">
        <v>13</v>
      </c>
      <c r="D8" s="68" t="s">
        <v>10</v>
      </c>
      <c r="E8" s="68" t="s">
        <v>14</v>
      </c>
      <c r="F8" s="68" t="s">
        <v>15</v>
      </c>
      <c r="G8" s="68"/>
      <c r="H8" s="68">
        <f>I40+I61+I81+I100+I117+I133+I150+I167+I184</f>
        <v>301</v>
      </c>
      <c r="I8" s="68">
        <f>J40+J61+J81+J100+J117+J133+J150+J167+J184</f>
        <v>505.68000000000006</v>
      </c>
      <c r="J8" s="69"/>
      <c r="K8" s="2"/>
    </row>
    <row r="9" spans="1:11" ht="18" x14ac:dyDescent="0.25">
      <c r="A9" s="2"/>
      <c r="B9" s="646"/>
      <c r="C9" s="31" t="s">
        <v>13</v>
      </c>
      <c r="D9" s="68" t="s">
        <v>10</v>
      </c>
      <c r="E9" s="68" t="s">
        <v>14</v>
      </c>
      <c r="F9" s="68" t="s">
        <v>16</v>
      </c>
      <c r="G9" s="68"/>
      <c r="H9" s="68">
        <f>I41+I62+I82+I101+I118+I134+I151+I168+I185</f>
        <v>32</v>
      </c>
      <c r="I9" s="68">
        <f>J41+J62+J82+J101+J118+J134+J151+J168+J185</f>
        <v>60.480000000000011</v>
      </c>
      <c r="J9" s="69"/>
      <c r="K9" s="2"/>
    </row>
    <row r="10" spans="1:11" ht="18" x14ac:dyDescent="0.25">
      <c r="A10" s="2"/>
      <c r="B10" s="646"/>
      <c r="C10" s="31" t="s">
        <v>9</v>
      </c>
      <c r="D10" s="68" t="s">
        <v>10</v>
      </c>
      <c r="E10" s="68" t="s">
        <v>14</v>
      </c>
      <c r="F10" s="68" t="s">
        <v>17</v>
      </c>
      <c r="G10" s="68"/>
      <c r="H10" s="68">
        <f>I83+I102+I119+I135+I152+I169+I186</f>
        <v>59</v>
      </c>
      <c r="I10" s="68">
        <f>J83+J102+J119+J135+J152+J169+J186</f>
        <v>148.68</v>
      </c>
      <c r="J10" s="69"/>
      <c r="K10" s="2"/>
    </row>
    <row r="11" spans="1:11" ht="18" x14ac:dyDescent="0.25">
      <c r="A11" s="2"/>
      <c r="B11" s="646"/>
      <c r="C11" s="31" t="s">
        <v>9</v>
      </c>
      <c r="D11" s="68" t="s">
        <v>10</v>
      </c>
      <c r="E11" s="68" t="s">
        <v>14</v>
      </c>
      <c r="F11" s="68" t="s">
        <v>18</v>
      </c>
      <c r="G11" s="68"/>
      <c r="H11" s="68">
        <f>I42+I63+I84+I103+I120+I187+I203</f>
        <v>46</v>
      </c>
      <c r="I11" s="68">
        <f>J42+J63+J84+J103+J120+J187+J203</f>
        <v>154.56000000000003</v>
      </c>
      <c r="J11" s="69"/>
      <c r="K11" s="2"/>
    </row>
    <row r="12" spans="1:11" ht="18" x14ac:dyDescent="0.25">
      <c r="A12" s="2"/>
      <c r="B12" s="646"/>
      <c r="C12" s="31" t="s">
        <v>9</v>
      </c>
      <c r="D12" s="68" t="s">
        <v>10</v>
      </c>
      <c r="E12" s="68" t="s">
        <v>14</v>
      </c>
      <c r="F12" s="68" t="s">
        <v>19</v>
      </c>
      <c r="G12" s="68"/>
      <c r="H12" s="68">
        <f>I64</f>
        <v>2</v>
      </c>
      <c r="I12" s="68">
        <f>J64</f>
        <v>8.82</v>
      </c>
      <c r="J12" s="69"/>
      <c r="K12" s="2"/>
    </row>
    <row r="13" spans="1:11" ht="18" x14ac:dyDescent="0.25">
      <c r="A13" s="2"/>
      <c r="B13" s="646"/>
      <c r="C13" s="31" t="s">
        <v>9</v>
      </c>
      <c r="D13" s="68" t="s">
        <v>10</v>
      </c>
      <c r="E13" s="68" t="s">
        <v>20</v>
      </c>
      <c r="F13" s="68" t="s">
        <v>21</v>
      </c>
      <c r="G13" s="68"/>
      <c r="H13" s="68">
        <f>I65</f>
        <v>3</v>
      </c>
      <c r="I13" s="68">
        <f>J65</f>
        <v>13.860000000000003</v>
      </c>
      <c r="J13" s="69"/>
      <c r="K13" s="2"/>
    </row>
    <row r="14" spans="1:11" ht="18" x14ac:dyDescent="0.25">
      <c r="A14" s="2"/>
      <c r="B14" s="646"/>
      <c r="C14" s="31" t="s">
        <v>13</v>
      </c>
      <c r="D14" s="68" t="s">
        <v>10</v>
      </c>
      <c r="E14" s="68" t="s">
        <v>22</v>
      </c>
      <c r="F14" s="68" t="s">
        <v>23</v>
      </c>
      <c r="G14" s="68"/>
      <c r="H14" s="68">
        <f>I43+I66+I85+I104+I121+I136+I153+I170+I188</f>
        <v>86</v>
      </c>
      <c r="I14" s="68"/>
      <c r="J14" s="69"/>
      <c r="K14" s="2"/>
    </row>
    <row r="15" spans="1:11" ht="18" x14ac:dyDescent="0.25">
      <c r="A15" s="2"/>
      <c r="B15" s="646"/>
      <c r="C15" s="31" t="s">
        <v>13</v>
      </c>
      <c r="D15" s="68" t="s">
        <v>10</v>
      </c>
      <c r="E15" s="70" t="s">
        <v>24</v>
      </c>
      <c r="F15" s="68" t="s">
        <v>23</v>
      </c>
      <c r="G15" s="68"/>
      <c r="H15" s="68">
        <f>I44</f>
        <v>3</v>
      </c>
      <c r="I15" s="68"/>
      <c r="J15" s="69"/>
      <c r="K15" s="2"/>
    </row>
    <row r="16" spans="1:11" ht="18" x14ac:dyDescent="0.25">
      <c r="A16" s="2"/>
      <c r="B16" s="646"/>
      <c r="C16" s="31" t="s">
        <v>25</v>
      </c>
      <c r="D16" s="68"/>
      <c r="E16" s="68"/>
      <c r="F16" s="68"/>
      <c r="G16" s="68"/>
      <c r="H16" s="68"/>
      <c r="I16" s="68"/>
      <c r="J16" s="69"/>
      <c r="K16" s="2"/>
    </row>
    <row r="17" spans="1:11" ht="18" x14ac:dyDescent="0.25">
      <c r="A17" s="2"/>
      <c r="B17" s="646"/>
      <c r="C17" s="31" t="s">
        <v>13</v>
      </c>
      <c r="D17" s="68" t="s">
        <v>26</v>
      </c>
      <c r="E17" s="68" t="s">
        <v>27</v>
      </c>
      <c r="F17" s="68" t="s">
        <v>28</v>
      </c>
      <c r="G17" s="68"/>
      <c r="H17" s="68">
        <f>I46+I68+I87+I138+I155+I172+I190</f>
        <v>80</v>
      </c>
      <c r="I17" s="68"/>
      <c r="J17" s="69"/>
      <c r="K17" s="2"/>
    </row>
    <row r="18" spans="1:11" ht="18" x14ac:dyDescent="0.25">
      <c r="A18" s="2"/>
      <c r="B18" s="646"/>
      <c r="C18" s="31" t="s">
        <v>13</v>
      </c>
      <c r="D18" s="68" t="s">
        <v>10</v>
      </c>
      <c r="E18" s="68" t="s">
        <v>20</v>
      </c>
      <c r="F18" s="68" t="s">
        <v>28</v>
      </c>
      <c r="G18" s="68"/>
      <c r="H18" s="68">
        <f>I47</f>
        <v>4</v>
      </c>
      <c r="I18" s="68"/>
      <c r="J18" s="69"/>
      <c r="K18" s="2"/>
    </row>
    <row r="19" spans="1:11" ht="18" x14ac:dyDescent="0.25">
      <c r="A19" s="2"/>
      <c r="B19" s="646"/>
      <c r="C19" s="31" t="s">
        <v>13</v>
      </c>
      <c r="D19" s="68" t="s">
        <v>10</v>
      </c>
      <c r="E19" s="68" t="s">
        <v>20</v>
      </c>
      <c r="F19" s="68" t="s">
        <v>29</v>
      </c>
      <c r="G19" s="68"/>
      <c r="H19" s="68">
        <f>I48</f>
        <v>2</v>
      </c>
      <c r="I19" s="68"/>
      <c r="J19" s="69"/>
      <c r="K19" s="2"/>
    </row>
    <row r="20" spans="1:11" ht="18" x14ac:dyDescent="0.25">
      <c r="A20" s="2"/>
      <c r="B20" s="646"/>
      <c r="C20" s="31" t="s">
        <v>13</v>
      </c>
      <c r="D20" s="68" t="s">
        <v>10</v>
      </c>
      <c r="E20" s="68" t="s">
        <v>20</v>
      </c>
      <c r="F20" s="68" t="s">
        <v>30</v>
      </c>
      <c r="G20" s="68"/>
      <c r="H20" s="68">
        <f>I69</f>
        <v>10</v>
      </c>
      <c r="I20" s="68"/>
      <c r="J20" s="69"/>
      <c r="K20" s="2"/>
    </row>
    <row r="21" spans="1:11" ht="18" x14ac:dyDescent="0.25">
      <c r="A21" s="2"/>
      <c r="B21" s="646"/>
      <c r="C21" s="63" t="s">
        <v>31</v>
      </c>
      <c r="D21" s="64"/>
      <c r="E21" s="64"/>
      <c r="F21" s="64" t="s">
        <v>0</v>
      </c>
      <c r="G21" s="65"/>
      <c r="H21" s="66"/>
      <c r="I21" s="67"/>
      <c r="J21" s="69"/>
      <c r="K21" s="2"/>
    </row>
    <row r="22" spans="1:11" ht="18" x14ac:dyDescent="0.25">
      <c r="A22" s="2"/>
      <c r="B22" s="646"/>
      <c r="C22" s="31" t="s">
        <v>32</v>
      </c>
      <c r="D22" s="68" t="s">
        <v>20</v>
      </c>
      <c r="E22" s="68" t="s">
        <v>33</v>
      </c>
      <c r="F22" s="68" t="s">
        <v>34</v>
      </c>
      <c r="G22" s="68"/>
      <c r="H22" s="68"/>
      <c r="I22" s="68">
        <f>J50+J71+J89+J106+J123+J140+J157+J174+J192+J205</f>
        <v>1765.9255999999996</v>
      </c>
      <c r="J22" s="69"/>
      <c r="K22" s="2"/>
    </row>
    <row r="23" spans="1:11" ht="18" x14ac:dyDescent="0.25">
      <c r="A23" s="2"/>
      <c r="B23" s="646"/>
      <c r="C23" s="31" t="s">
        <v>35</v>
      </c>
      <c r="D23" s="68" t="s">
        <v>36</v>
      </c>
      <c r="E23" s="68" t="s">
        <v>37</v>
      </c>
      <c r="F23" s="68" t="s">
        <v>34</v>
      </c>
      <c r="G23" s="68"/>
      <c r="H23" s="68">
        <f>I51+I72+I90+I107+I124+I141+I158+I175+I193</f>
        <v>36</v>
      </c>
      <c r="I23" s="68">
        <f>J51+J72+J90+J107+J124+J141+J158+J175+J193</f>
        <v>14.399999999999999</v>
      </c>
      <c r="J23" s="69"/>
      <c r="K23" s="2"/>
    </row>
    <row r="24" spans="1:11" ht="18" x14ac:dyDescent="0.25">
      <c r="A24" s="2"/>
      <c r="B24" s="646"/>
      <c r="C24" s="63" t="s">
        <v>38</v>
      </c>
      <c r="D24" s="64"/>
      <c r="E24" s="64"/>
      <c r="F24" s="64"/>
      <c r="G24" s="65"/>
      <c r="H24" s="66"/>
      <c r="I24" s="67"/>
      <c r="J24" s="69"/>
      <c r="K24" s="2"/>
    </row>
    <row r="25" spans="1:11" ht="18" x14ac:dyDescent="0.25">
      <c r="A25" s="2"/>
      <c r="B25" s="646"/>
      <c r="C25" s="31" t="s">
        <v>39</v>
      </c>
      <c r="D25" s="68" t="s">
        <v>36</v>
      </c>
      <c r="E25" s="68" t="s">
        <v>11</v>
      </c>
      <c r="F25" s="68" t="s">
        <v>34</v>
      </c>
      <c r="G25" s="68"/>
      <c r="H25" s="68" t="s">
        <v>0</v>
      </c>
      <c r="I25" s="68">
        <f>J53+J92+J109+J195</f>
        <v>19.492000000000001</v>
      </c>
      <c r="J25" s="69"/>
      <c r="K25" s="2"/>
    </row>
    <row r="26" spans="1:11" ht="18" x14ac:dyDescent="0.25">
      <c r="A26" s="2"/>
      <c r="B26" s="646"/>
      <c r="C26" s="31" t="s">
        <v>40</v>
      </c>
      <c r="D26" s="68" t="s">
        <v>36</v>
      </c>
      <c r="E26" s="68" t="s">
        <v>11</v>
      </c>
      <c r="F26" s="68" t="s">
        <v>34</v>
      </c>
      <c r="G26" s="68"/>
      <c r="H26" s="68" t="s">
        <v>0</v>
      </c>
      <c r="I26" s="68">
        <f>J54</f>
        <v>26.154000000000003</v>
      </c>
      <c r="J26" s="69"/>
      <c r="K26" s="2"/>
    </row>
    <row r="27" spans="1:11" ht="18" x14ac:dyDescent="0.25">
      <c r="A27" s="2"/>
      <c r="B27" s="646"/>
      <c r="C27" s="31" t="s">
        <v>41</v>
      </c>
      <c r="D27" s="68" t="s">
        <v>36</v>
      </c>
      <c r="E27" s="68" t="s">
        <v>11</v>
      </c>
      <c r="F27" s="68" t="s">
        <v>34</v>
      </c>
      <c r="G27" s="68"/>
      <c r="H27" s="68">
        <f>I55+I74+I93+I110+I126+I143+I160+I177+I196</f>
        <v>104</v>
      </c>
      <c r="I27" s="68">
        <f>J55+J74+J93+J110+J126+J143+J160+J177+J196</f>
        <v>4.16</v>
      </c>
      <c r="J27" s="69"/>
      <c r="K27" s="2"/>
    </row>
    <row r="28" spans="1:11" ht="18" x14ac:dyDescent="0.25">
      <c r="A28" s="2"/>
      <c r="B28" s="646"/>
      <c r="C28" s="63" t="s">
        <v>42</v>
      </c>
      <c r="D28" s="64"/>
      <c r="E28" s="64"/>
      <c r="F28" s="64" t="s">
        <v>0</v>
      </c>
      <c r="G28" s="65"/>
      <c r="H28" s="66"/>
      <c r="I28" s="67"/>
      <c r="J28" s="69"/>
      <c r="K28" s="2"/>
    </row>
    <row r="29" spans="1:11" ht="18" x14ac:dyDescent="0.25">
      <c r="A29" s="2"/>
      <c r="B29" s="646"/>
      <c r="C29" s="31" t="s">
        <v>43</v>
      </c>
      <c r="D29" s="68" t="s">
        <v>36</v>
      </c>
      <c r="E29" s="68" t="s">
        <v>37</v>
      </c>
      <c r="F29" s="68" t="s">
        <v>34</v>
      </c>
      <c r="G29" s="14"/>
      <c r="H29" s="40"/>
      <c r="I29" s="71">
        <f>J76+J95+J112+J128+J145+J162+J179+J198</f>
        <v>427.84000000000003</v>
      </c>
      <c r="J29" s="69"/>
      <c r="K29" s="2"/>
    </row>
    <row r="30" spans="1:11" ht="18" x14ac:dyDescent="0.25">
      <c r="A30" s="2"/>
      <c r="B30" s="646"/>
      <c r="C30" s="28"/>
      <c r="D30" s="27"/>
      <c r="E30" s="647"/>
      <c r="F30" s="647"/>
      <c r="G30" s="647"/>
      <c r="H30" s="57"/>
      <c r="I30" s="72"/>
      <c r="J30" s="69"/>
      <c r="K30" s="2"/>
    </row>
    <row r="31" spans="1:11" ht="16.5" thickBot="1" x14ac:dyDescent="0.3">
      <c r="A31" s="2"/>
      <c r="B31" s="29"/>
      <c r="C31" s="30"/>
      <c r="D31" s="30"/>
      <c r="E31" s="30"/>
      <c r="F31" s="30"/>
      <c r="G31" s="30"/>
      <c r="H31" s="73"/>
      <c r="I31" s="73"/>
      <c r="J31" s="74"/>
      <c r="K31" s="2"/>
    </row>
    <row r="32" spans="1:11" x14ac:dyDescent="0.25">
      <c r="A32" s="2"/>
      <c r="B32" s="23"/>
      <c r="C32" s="24"/>
      <c r="D32" s="24"/>
      <c r="E32" s="24"/>
      <c r="F32" s="24"/>
      <c r="G32" s="24"/>
      <c r="H32" s="75"/>
      <c r="I32" s="75"/>
      <c r="J32" s="75"/>
      <c r="K32" s="2"/>
    </row>
    <row r="33" spans="1:11" x14ac:dyDescent="0.25">
      <c r="A33" s="2"/>
      <c r="B33" s="23"/>
      <c r="C33" s="24"/>
      <c r="D33" s="24"/>
      <c r="E33" s="24"/>
      <c r="F33" s="24"/>
      <c r="G33" s="24"/>
      <c r="H33" s="75"/>
      <c r="I33" s="75"/>
      <c r="J33" s="75"/>
      <c r="K33" s="2"/>
    </row>
    <row r="34" spans="1:11" x14ac:dyDescent="0.25">
      <c r="A34" s="2"/>
      <c r="B34" s="725" t="s">
        <v>44</v>
      </c>
      <c r="C34" s="725"/>
      <c r="D34" s="725"/>
      <c r="E34" s="725"/>
      <c r="F34" s="725"/>
      <c r="G34" s="725"/>
      <c r="H34" s="725"/>
      <c r="I34" s="725"/>
      <c r="J34" s="725"/>
      <c r="K34" s="2"/>
    </row>
    <row r="35" spans="1:11" x14ac:dyDescent="0.25">
      <c r="A35" s="2"/>
      <c r="K35" s="2"/>
    </row>
    <row r="36" spans="1:11" x14ac:dyDescent="0.25">
      <c r="A36" s="2"/>
      <c r="B36" s="10" t="s">
        <v>45</v>
      </c>
      <c r="C36" s="718" t="s">
        <v>46</v>
      </c>
      <c r="D36" s="718"/>
      <c r="E36" s="718"/>
      <c r="F36" s="718"/>
      <c r="G36" s="718"/>
      <c r="H36" s="718"/>
      <c r="I36" s="718"/>
      <c r="J36" s="11"/>
      <c r="K36" s="2"/>
    </row>
    <row r="37" spans="1:11" x14ac:dyDescent="0.25">
      <c r="A37" s="2"/>
      <c r="B37" s="32"/>
      <c r="C37" s="59" t="s">
        <v>2</v>
      </c>
      <c r="D37" s="124" t="s">
        <v>3</v>
      </c>
      <c r="E37" s="124" t="s">
        <v>4</v>
      </c>
      <c r="F37" s="124" t="s">
        <v>5</v>
      </c>
      <c r="G37" s="61"/>
      <c r="H37" s="62"/>
      <c r="I37" s="60" t="s">
        <v>6</v>
      </c>
      <c r="J37" s="62" t="s">
        <v>7</v>
      </c>
      <c r="K37" s="2"/>
    </row>
    <row r="38" spans="1:11" x14ac:dyDescent="0.25">
      <c r="A38" s="2"/>
      <c r="B38" s="77"/>
      <c r="C38" s="63" t="s">
        <v>8</v>
      </c>
      <c r="D38" s="64"/>
      <c r="E38" s="64"/>
      <c r="F38" s="64"/>
      <c r="G38" s="65"/>
      <c r="H38" s="66"/>
      <c r="I38" s="67"/>
      <c r="J38" s="78" t="s">
        <v>0</v>
      </c>
      <c r="K38" s="2"/>
    </row>
    <row r="39" spans="1:11" x14ac:dyDescent="0.25">
      <c r="A39" s="2"/>
      <c r="B39" s="32" t="s">
        <v>0</v>
      </c>
      <c r="C39" s="31" t="s">
        <v>9</v>
      </c>
      <c r="D39" s="68" t="s">
        <v>10</v>
      </c>
      <c r="E39" s="68" t="s">
        <v>11</v>
      </c>
      <c r="F39" s="68" t="s">
        <v>12</v>
      </c>
      <c r="G39" s="14" t="s">
        <v>0</v>
      </c>
      <c r="H39" s="40" t="s">
        <v>0</v>
      </c>
      <c r="I39" s="60">
        <f t="shared" ref="I39:J41" si="0">I216</f>
        <v>2</v>
      </c>
      <c r="J39" s="62">
        <f t="shared" si="0"/>
        <v>8.4</v>
      </c>
      <c r="K39" s="2"/>
    </row>
    <row r="40" spans="1:11" x14ac:dyDescent="0.25">
      <c r="A40" s="2"/>
      <c r="B40" s="32" t="s">
        <v>0</v>
      </c>
      <c r="C40" s="31" t="s">
        <v>13</v>
      </c>
      <c r="D40" s="68" t="s">
        <v>10</v>
      </c>
      <c r="E40" s="68" t="s">
        <v>20</v>
      </c>
      <c r="F40" s="68" t="s">
        <v>15</v>
      </c>
      <c r="G40" s="14" t="s">
        <v>0</v>
      </c>
      <c r="H40" s="40" t="s">
        <v>0</v>
      </c>
      <c r="I40" s="60">
        <f t="shared" si="0"/>
        <v>35</v>
      </c>
      <c r="J40" s="60">
        <f t="shared" si="0"/>
        <v>58.800000000000004</v>
      </c>
      <c r="K40" s="2"/>
    </row>
    <row r="41" spans="1:11" x14ac:dyDescent="0.25">
      <c r="A41" s="2"/>
      <c r="B41" s="32" t="s">
        <v>0</v>
      </c>
      <c r="C41" s="31" t="s">
        <v>13</v>
      </c>
      <c r="D41" s="68" t="s">
        <v>10</v>
      </c>
      <c r="E41" s="68" t="s">
        <v>20</v>
      </c>
      <c r="F41" s="68" t="s">
        <v>16</v>
      </c>
      <c r="G41" s="14" t="s">
        <v>0</v>
      </c>
      <c r="H41" s="40" t="s">
        <v>0</v>
      </c>
      <c r="I41" s="60">
        <f t="shared" si="0"/>
        <v>6</v>
      </c>
      <c r="J41" s="60">
        <f t="shared" si="0"/>
        <v>11.34</v>
      </c>
      <c r="K41" s="2"/>
    </row>
    <row r="42" spans="1:11" x14ac:dyDescent="0.25">
      <c r="A42" s="2"/>
      <c r="B42" s="32" t="s">
        <v>0</v>
      </c>
      <c r="C42" s="31" t="s">
        <v>9</v>
      </c>
      <c r="D42" s="68" t="s">
        <v>10</v>
      </c>
      <c r="E42" s="68" t="s">
        <v>20</v>
      </c>
      <c r="F42" s="68" t="s">
        <v>18</v>
      </c>
      <c r="G42" s="14" t="s">
        <v>0</v>
      </c>
      <c r="H42" s="40" t="s">
        <v>0</v>
      </c>
      <c r="I42" s="60">
        <f>SUM(I219:I220)</f>
        <v>16</v>
      </c>
      <c r="J42" s="60">
        <f>SUM(J219:J220)</f>
        <v>53.760000000000005</v>
      </c>
      <c r="K42" s="2"/>
    </row>
    <row r="43" spans="1:11" x14ac:dyDescent="0.25">
      <c r="A43" s="2"/>
      <c r="B43" s="32" t="s">
        <v>0</v>
      </c>
      <c r="C43" s="31" t="s">
        <v>13</v>
      </c>
      <c r="D43" s="68" t="s">
        <v>10</v>
      </c>
      <c r="E43" s="68" t="s">
        <v>22</v>
      </c>
      <c r="F43" s="68" t="s">
        <v>23</v>
      </c>
      <c r="G43" s="14" t="s">
        <v>0</v>
      </c>
      <c r="H43" s="40" t="s">
        <v>0</v>
      </c>
      <c r="I43" s="60">
        <f>I221</f>
        <v>8</v>
      </c>
      <c r="J43" s="62">
        <f>J221</f>
        <v>16.8</v>
      </c>
      <c r="K43" s="2"/>
    </row>
    <row r="44" spans="1:11" x14ac:dyDescent="0.25">
      <c r="A44" s="2"/>
      <c r="B44" s="32" t="s">
        <v>0</v>
      </c>
      <c r="C44" s="31" t="s">
        <v>13</v>
      </c>
      <c r="D44" s="68" t="s">
        <v>10</v>
      </c>
      <c r="E44" s="70" t="s">
        <v>24</v>
      </c>
      <c r="F44" s="68" t="s">
        <v>23</v>
      </c>
      <c r="G44" s="14" t="s">
        <v>0</v>
      </c>
      <c r="H44" s="40" t="s">
        <v>0</v>
      </c>
      <c r="I44" s="60">
        <f>I222</f>
        <v>3</v>
      </c>
      <c r="J44" s="62">
        <f>J222</f>
        <v>6.3000000000000007</v>
      </c>
      <c r="K44" s="2"/>
    </row>
    <row r="45" spans="1:11" x14ac:dyDescent="0.25">
      <c r="A45" s="2"/>
      <c r="B45" s="32"/>
      <c r="C45" s="31" t="s">
        <v>25</v>
      </c>
      <c r="D45" s="68"/>
      <c r="E45" s="68"/>
      <c r="F45" s="68"/>
      <c r="G45" s="14"/>
      <c r="H45" s="40"/>
      <c r="I45" s="71"/>
      <c r="J45" s="62"/>
      <c r="K45" s="2"/>
    </row>
    <row r="46" spans="1:11" x14ac:dyDescent="0.25">
      <c r="A46" s="2"/>
      <c r="B46" s="32" t="s">
        <v>0</v>
      </c>
      <c r="C46" s="31" t="s">
        <v>13</v>
      </c>
      <c r="D46" s="68" t="s">
        <v>26</v>
      </c>
      <c r="E46" s="68" t="s">
        <v>27</v>
      </c>
      <c r="F46" s="68" t="s">
        <v>28</v>
      </c>
      <c r="G46" s="14" t="s">
        <v>0</v>
      </c>
      <c r="H46" s="40" t="s">
        <v>0</v>
      </c>
      <c r="I46" s="60">
        <f t="shared" ref="I46:J48" si="1">I224</f>
        <v>22</v>
      </c>
      <c r="J46" s="60">
        <f t="shared" si="1"/>
        <v>23.76</v>
      </c>
      <c r="K46" s="2"/>
    </row>
    <row r="47" spans="1:11" x14ac:dyDescent="0.25">
      <c r="A47" s="2"/>
      <c r="B47" s="32" t="s">
        <v>0</v>
      </c>
      <c r="C47" s="31" t="s">
        <v>13</v>
      </c>
      <c r="D47" s="68" t="s">
        <v>10</v>
      </c>
      <c r="E47" s="68" t="s">
        <v>20</v>
      </c>
      <c r="F47" s="68" t="s">
        <v>28</v>
      </c>
      <c r="G47" s="14" t="s">
        <v>0</v>
      </c>
      <c r="H47" s="40" t="s">
        <v>0</v>
      </c>
      <c r="I47" s="60">
        <f t="shared" si="1"/>
        <v>4</v>
      </c>
      <c r="J47" s="60">
        <f t="shared" si="1"/>
        <v>4.32</v>
      </c>
      <c r="K47" s="2"/>
    </row>
    <row r="48" spans="1:11" x14ac:dyDescent="0.25">
      <c r="A48" s="2"/>
      <c r="B48" s="32" t="s">
        <v>0</v>
      </c>
      <c r="C48" s="31" t="s">
        <v>13</v>
      </c>
      <c r="D48" s="68" t="s">
        <v>10</v>
      </c>
      <c r="E48" s="68" t="s">
        <v>20</v>
      </c>
      <c r="F48" s="68" t="s">
        <v>29</v>
      </c>
      <c r="G48" s="14" t="s">
        <v>0</v>
      </c>
      <c r="H48" s="40" t="s">
        <v>0</v>
      </c>
      <c r="I48" s="60">
        <f t="shared" si="1"/>
        <v>2</v>
      </c>
      <c r="J48" s="60">
        <f t="shared" si="1"/>
        <v>3.24</v>
      </c>
      <c r="K48" s="2"/>
    </row>
    <row r="49" spans="1:11" x14ac:dyDescent="0.25">
      <c r="A49" s="2"/>
      <c r="B49" s="77"/>
      <c r="C49" s="63" t="s">
        <v>31</v>
      </c>
      <c r="D49" s="64"/>
      <c r="E49" s="64"/>
      <c r="F49" s="64" t="s">
        <v>0</v>
      </c>
      <c r="G49" s="65"/>
      <c r="H49" s="66"/>
      <c r="I49" s="67"/>
      <c r="J49" s="78"/>
      <c r="K49" s="2"/>
    </row>
    <row r="50" spans="1:11" x14ac:dyDescent="0.25">
      <c r="A50" s="2"/>
      <c r="B50" s="32" t="s">
        <v>0</v>
      </c>
      <c r="C50" s="31" t="s">
        <v>32</v>
      </c>
      <c r="D50" s="68" t="s">
        <v>20</v>
      </c>
      <c r="E50" s="68" t="s">
        <v>33</v>
      </c>
      <c r="F50" s="68" t="s">
        <v>34</v>
      </c>
      <c r="G50" s="14" t="s">
        <v>0</v>
      </c>
      <c r="H50" s="40" t="s">
        <v>0</v>
      </c>
      <c r="I50" s="71" t="s">
        <v>0</v>
      </c>
      <c r="J50" s="62">
        <f>SUM($J$228:$J$255)</f>
        <v>144.55000000000001</v>
      </c>
      <c r="K50" s="2"/>
    </row>
    <row r="51" spans="1:11" x14ac:dyDescent="0.25">
      <c r="A51" s="2"/>
      <c r="B51" s="79"/>
      <c r="C51" s="31" t="s">
        <v>35</v>
      </c>
      <c r="D51" s="68" t="s">
        <v>36</v>
      </c>
      <c r="E51" s="68" t="s">
        <v>37</v>
      </c>
      <c r="F51" s="68" t="s">
        <v>34</v>
      </c>
      <c r="G51" s="14"/>
      <c r="H51" s="40"/>
      <c r="I51" s="60">
        <v>4</v>
      </c>
      <c r="J51" s="62">
        <f>I51*0.4</f>
        <v>1.6</v>
      </c>
      <c r="K51" s="2"/>
    </row>
    <row r="52" spans="1:11" x14ac:dyDescent="0.25">
      <c r="A52" s="2"/>
      <c r="B52" s="77"/>
      <c r="C52" s="63" t="s">
        <v>38</v>
      </c>
      <c r="D52" s="64"/>
      <c r="E52" s="64"/>
      <c r="F52" s="64"/>
      <c r="G52" s="65"/>
      <c r="H52" s="66"/>
      <c r="I52" s="67"/>
      <c r="J52" s="78" t="s">
        <v>0</v>
      </c>
      <c r="K52" s="2"/>
    </row>
    <row r="53" spans="1:11" x14ac:dyDescent="0.25">
      <c r="A53" s="2"/>
      <c r="B53" s="32" t="s">
        <v>0</v>
      </c>
      <c r="C53" s="31" t="s">
        <v>39</v>
      </c>
      <c r="D53" s="68" t="s">
        <v>36</v>
      </c>
      <c r="E53" s="68" t="s">
        <v>11</v>
      </c>
      <c r="F53" s="68" t="s">
        <v>34</v>
      </c>
      <c r="G53" s="14" t="s">
        <v>0</v>
      </c>
      <c r="H53" s="40" t="s">
        <v>0</v>
      </c>
      <c r="I53" s="71" t="s">
        <v>0</v>
      </c>
      <c r="J53" s="62">
        <f>SUM($J$257:$J$261)</f>
        <v>11.792000000000002</v>
      </c>
      <c r="K53" s="2"/>
    </row>
    <row r="54" spans="1:11" x14ac:dyDescent="0.25">
      <c r="A54" s="2"/>
      <c r="B54" s="32" t="s">
        <v>0</v>
      </c>
      <c r="C54" s="31" t="s">
        <v>40</v>
      </c>
      <c r="D54" s="68" t="s">
        <v>36</v>
      </c>
      <c r="E54" s="68" t="s">
        <v>11</v>
      </c>
      <c r="F54" s="68" t="s">
        <v>34</v>
      </c>
      <c r="G54" s="14" t="s">
        <v>0</v>
      </c>
      <c r="H54" s="40" t="s">
        <v>0</v>
      </c>
      <c r="I54" s="71" t="s">
        <v>0</v>
      </c>
      <c r="J54" s="62">
        <f>SUM($J$262:$J$266)</f>
        <v>26.154000000000003</v>
      </c>
      <c r="K54" s="2"/>
    </row>
    <row r="55" spans="1:11" x14ac:dyDescent="0.25">
      <c r="A55" s="2"/>
      <c r="B55" s="79"/>
      <c r="C55" s="31" t="s">
        <v>41</v>
      </c>
      <c r="D55" s="68" t="s">
        <v>36</v>
      </c>
      <c r="E55" s="68" t="s">
        <v>11</v>
      </c>
      <c r="F55" s="68" t="s">
        <v>34</v>
      </c>
      <c r="G55" s="14" t="s">
        <v>0</v>
      </c>
      <c r="H55" s="40" t="s">
        <v>0</v>
      </c>
      <c r="I55" s="60">
        <v>8</v>
      </c>
      <c r="J55" s="62">
        <f>I55*0.2*0.2</f>
        <v>0.32000000000000006</v>
      </c>
      <c r="K55" s="2"/>
    </row>
    <row r="56" spans="1:11" x14ac:dyDescent="0.25">
      <c r="A56" s="2"/>
      <c r="B56" s="80"/>
      <c r="C56" s="81"/>
      <c r="D56" s="82"/>
      <c r="E56" s="82"/>
      <c r="F56" s="82"/>
      <c r="G56" s="9"/>
      <c r="H56" s="83"/>
      <c r="I56" s="84"/>
      <c r="J56" s="85"/>
      <c r="K56" s="2"/>
    </row>
    <row r="57" spans="1:11" x14ac:dyDescent="0.25">
      <c r="A57" s="2"/>
      <c r="B57" s="10" t="s">
        <v>47</v>
      </c>
      <c r="C57" s="718" t="s">
        <v>48</v>
      </c>
      <c r="D57" s="718"/>
      <c r="E57" s="718"/>
      <c r="F57" s="718"/>
      <c r="G57" s="718"/>
      <c r="H57" s="718"/>
      <c r="I57" s="718"/>
      <c r="J57" s="11"/>
      <c r="K57" s="2"/>
    </row>
    <row r="58" spans="1:11" x14ac:dyDescent="0.25">
      <c r="A58" s="2"/>
      <c r="B58" s="32"/>
      <c r="C58" s="59" t="s">
        <v>2</v>
      </c>
      <c r="D58" s="60" t="s">
        <v>3</v>
      </c>
      <c r="E58" s="60" t="s">
        <v>4</v>
      </c>
      <c r="F58" s="60" t="s">
        <v>5</v>
      </c>
      <c r="G58" s="61"/>
      <c r="H58" s="62"/>
      <c r="I58" s="60" t="s">
        <v>6</v>
      </c>
      <c r="J58" s="62" t="s">
        <v>7</v>
      </c>
      <c r="K58" s="2"/>
    </row>
    <row r="59" spans="1:11" x14ac:dyDescent="0.25">
      <c r="A59" s="2"/>
      <c r="B59" s="77"/>
      <c r="C59" s="63" t="s">
        <v>8</v>
      </c>
      <c r="D59" s="64"/>
      <c r="E59" s="64"/>
      <c r="F59" s="64"/>
      <c r="G59" s="65"/>
      <c r="H59" s="66"/>
      <c r="I59" s="67"/>
      <c r="J59" s="78" t="s">
        <v>0</v>
      </c>
      <c r="K59" s="2"/>
    </row>
    <row r="60" spans="1:11" x14ac:dyDescent="0.25">
      <c r="A60" s="2"/>
      <c r="B60" s="32" t="s">
        <v>0</v>
      </c>
      <c r="C60" s="31" t="s">
        <v>9</v>
      </c>
      <c r="D60" s="68" t="s">
        <v>10</v>
      </c>
      <c r="E60" s="68" t="s">
        <v>11</v>
      </c>
      <c r="F60" s="68" t="s">
        <v>12</v>
      </c>
      <c r="G60" s="14" t="s">
        <v>0</v>
      </c>
      <c r="H60" s="40" t="s">
        <v>0</v>
      </c>
      <c r="I60" s="60">
        <f t="shared" ref="I60:J62" si="2">I285</f>
        <v>1</v>
      </c>
      <c r="J60" s="60">
        <f t="shared" si="2"/>
        <v>4.2</v>
      </c>
      <c r="K60" s="2"/>
    </row>
    <row r="61" spans="1:11" x14ac:dyDescent="0.25">
      <c r="A61" s="2"/>
      <c r="B61" s="32" t="s">
        <v>0</v>
      </c>
      <c r="C61" s="31" t="s">
        <v>13</v>
      </c>
      <c r="D61" s="68" t="s">
        <v>10</v>
      </c>
      <c r="E61" s="68" t="s">
        <v>20</v>
      </c>
      <c r="F61" s="68" t="s">
        <v>15</v>
      </c>
      <c r="G61" s="14" t="s">
        <v>0</v>
      </c>
      <c r="H61" s="40" t="s">
        <v>0</v>
      </c>
      <c r="I61" s="60">
        <f t="shared" si="2"/>
        <v>39</v>
      </c>
      <c r="J61" s="60">
        <f t="shared" si="2"/>
        <v>65.52000000000001</v>
      </c>
      <c r="K61" s="2"/>
    </row>
    <row r="62" spans="1:11" x14ac:dyDescent="0.25">
      <c r="A62" s="2"/>
      <c r="B62" s="32" t="s">
        <v>0</v>
      </c>
      <c r="C62" s="31" t="s">
        <v>13</v>
      </c>
      <c r="D62" s="68" t="s">
        <v>10</v>
      </c>
      <c r="E62" s="68" t="s">
        <v>20</v>
      </c>
      <c r="F62" s="68" t="s">
        <v>16</v>
      </c>
      <c r="G62" s="14" t="s">
        <v>0</v>
      </c>
      <c r="H62" s="40" t="s">
        <v>0</v>
      </c>
      <c r="I62" s="60">
        <f t="shared" si="2"/>
        <v>2</v>
      </c>
      <c r="J62" s="60">
        <f t="shared" si="2"/>
        <v>3.7800000000000002</v>
      </c>
      <c r="K62" s="2"/>
    </row>
    <row r="63" spans="1:11" x14ac:dyDescent="0.25">
      <c r="A63" s="2"/>
      <c r="B63" s="32" t="s">
        <v>0</v>
      </c>
      <c r="C63" s="31" t="s">
        <v>9</v>
      </c>
      <c r="D63" s="68" t="s">
        <v>10</v>
      </c>
      <c r="E63" s="68" t="s">
        <v>20</v>
      </c>
      <c r="F63" s="68" t="s">
        <v>18</v>
      </c>
      <c r="G63" s="14" t="s">
        <v>0</v>
      </c>
      <c r="H63" s="40" t="s">
        <v>0</v>
      </c>
      <c r="I63" s="60">
        <f>SUM(I288:I289)</f>
        <v>3</v>
      </c>
      <c r="J63" s="60">
        <f>SUM(J288:J289)</f>
        <v>10.080000000000002</v>
      </c>
      <c r="K63" s="2"/>
    </row>
    <row r="64" spans="1:11" x14ac:dyDescent="0.25">
      <c r="A64" s="2"/>
      <c r="B64" s="32" t="s">
        <v>0</v>
      </c>
      <c r="C64" s="31" t="s">
        <v>9</v>
      </c>
      <c r="D64" s="68" t="s">
        <v>10</v>
      </c>
      <c r="E64" s="68" t="s">
        <v>20</v>
      </c>
      <c r="F64" s="68" t="s">
        <v>19</v>
      </c>
      <c r="G64" s="14" t="s">
        <v>0</v>
      </c>
      <c r="H64" s="40" t="s">
        <v>0</v>
      </c>
      <c r="I64" s="60">
        <f>I291</f>
        <v>2</v>
      </c>
      <c r="J64" s="60">
        <f>J291</f>
        <v>8.82</v>
      </c>
      <c r="K64" s="2"/>
    </row>
    <row r="65" spans="1:11" x14ac:dyDescent="0.25">
      <c r="A65" s="2"/>
      <c r="B65" s="32" t="s">
        <v>0</v>
      </c>
      <c r="C65" s="31" t="s">
        <v>9</v>
      </c>
      <c r="D65" s="68" t="s">
        <v>10</v>
      </c>
      <c r="E65" s="68" t="s">
        <v>20</v>
      </c>
      <c r="F65" s="68" t="s">
        <v>21</v>
      </c>
      <c r="G65" s="14" t="s">
        <v>0</v>
      </c>
      <c r="H65" s="40" t="s">
        <v>0</v>
      </c>
      <c r="I65" s="60">
        <f>I290</f>
        <v>3</v>
      </c>
      <c r="J65" s="62">
        <f>J290</f>
        <v>13.860000000000003</v>
      </c>
      <c r="K65" s="2"/>
    </row>
    <row r="66" spans="1:11" x14ac:dyDescent="0.25">
      <c r="A66" s="2"/>
      <c r="B66" s="32" t="s">
        <v>0</v>
      </c>
      <c r="C66" s="31" t="s">
        <v>13</v>
      </c>
      <c r="D66" s="68" t="s">
        <v>10</v>
      </c>
      <c r="E66" s="68" t="s">
        <v>22</v>
      </c>
      <c r="F66" s="68" t="s">
        <v>23</v>
      </c>
      <c r="G66" s="14" t="s">
        <v>0</v>
      </c>
      <c r="H66" s="40" t="s">
        <v>0</v>
      </c>
      <c r="I66" s="60">
        <f>I292</f>
        <v>15</v>
      </c>
      <c r="J66" s="62">
        <f>J292</f>
        <v>31.5</v>
      </c>
      <c r="K66" s="2"/>
    </row>
    <row r="67" spans="1:11" x14ac:dyDescent="0.25">
      <c r="A67" s="2"/>
      <c r="B67" s="32"/>
      <c r="C67" s="31" t="s">
        <v>25</v>
      </c>
      <c r="D67" s="68"/>
      <c r="E67" s="68"/>
      <c r="F67" s="68"/>
      <c r="G67" s="14"/>
      <c r="H67" s="40"/>
      <c r="I67" s="71"/>
      <c r="J67" s="62"/>
      <c r="K67" s="2"/>
    </row>
    <row r="68" spans="1:11" x14ac:dyDescent="0.25">
      <c r="A68" s="2"/>
      <c r="B68" s="39" t="s">
        <v>0</v>
      </c>
      <c r="C68" s="31" t="s">
        <v>13</v>
      </c>
      <c r="D68" s="68" t="s">
        <v>26</v>
      </c>
      <c r="E68" s="68" t="s">
        <v>27</v>
      </c>
      <c r="F68" s="68" t="s">
        <v>28</v>
      </c>
      <c r="G68" s="14" t="s">
        <v>0</v>
      </c>
      <c r="H68" s="40" t="s">
        <v>0</v>
      </c>
      <c r="I68" s="60">
        <f>I294</f>
        <v>10</v>
      </c>
      <c r="J68" s="60">
        <f>J294</f>
        <v>10.8</v>
      </c>
      <c r="K68" s="2"/>
    </row>
    <row r="69" spans="1:11" x14ac:dyDescent="0.25">
      <c r="A69" s="2"/>
      <c r="B69" s="39" t="s">
        <v>0</v>
      </c>
      <c r="C69" s="31" t="s">
        <v>13</v>
      </c>
      <c r="D69" s="68" t="s">
        <v>10</v>
      </c>
      <c r="E69" s="68" t="s">
        <v>20</v>
      </c>
      <c r="F69" s="68" t="s">
        <v>30</v>
      </c>
      <c r="G69" s="14" t="s">
        <v>0</v>
      </c>
      <c r="H69" s="40" t="s">
        <v>0</v>
      </c>
      <c r="I69" s="60">
        <f>I295</f>
        <v>10</v>
      </c>
      <c r="J69" s="60">
        <f>J295</f>
        <v>12.6</v>
      </c>
      <c r="K69" s="2"/>
    </row>
    <row r="70" spans="1:11" x14ac:dyDescent="0.25">
      <c r="A70" s="2"/>
      <c r="B70" s="77"/>
      <c r="C70" s="63" t="s">
        <v>31</v>
      </c>
      <c r="D70" s="64"/>
      <c r="E70" s="64"/>
      <c r="F70" s="64" t="s">
        <v>0</v>
      </c>
      <c r="G70" s="65"/>
      <c r="H70" s="66"/>
      <c r="I70" s="67"/>
      <c r="J70" s="78"/>
      <c r="K70" s="2"/>
    </row>
    <row r="71" spans="1:11" x14ac:dyDescent="0.25">
      <c r="A71" s="2"/>
      <c r="B71" s="32" t="s">
        <v>0</v>
      </c>
      <c r="C71" s="31" t="s">
        <v>32</v>
      </c>
      <c r="D71" s="68" t="s">
        <v>20</v>
      </c>
      <c r="E71" s="68" t="s">
        <v>33</v>
      </c>
      <c r="F71" s="68" t="s">
        <v>34</v>
      </c>
      <c r="G71" s="14" t="s">
        <v>0</v>
      </c>
      <c r="H71" s="40" t="s">
        <v>0</v>
      </c>
      <c r="I71" s="71" t="s">
        <v>0</v>
      </c>
      <c r="J71" s="62">
        <f>SUM($J$297:$J$303)</f>
        <v>189.42400000000001</v>
      </c>
      <c r="K71" s="2"/>
    </row>
    <row r="72" spans="1:11" x14ac:dyDescent="0.25">
      <c r="A72" s="2"/>
      <c r="B72" s="79"/>
      <c r="C72" s="31" t="s">
        <v>35</v>
      </c>
      <c r="D72" s="68" t="s">
        <v>36</v>
      </c>
      <c r="E72" s="68" t="s">
        <v>37</v>
      </c>
      <c r="F72" s="68" t="s">
        <v>34</v>
      </c>
      <c r="G72" s="14"/>
      <c r="H72" s="40"/>
      <c r="I72" s="60">
        <v>4</v>
      </c>
      <c r="J72" s="62">
        <f>I72*0.4</f>
        <v>1.6</v>
      </c>
      <c r="K72" s="2"/>
    </row>
    <row r="73" spans="1:11" x14ac:dyDescent="0.25">
      <c r="A73" s="2"/>
      <c r="B73" s="77"/>
      <c r="C73" s="63" t="s">
        <v>38</v>
      </c>
      <c r="D73" s="64"/>
      <c r="E73" s="64"/>
      <c r="F73" s="64"/>
      <c r="G73" s="65"/>
      <c r="H73" s="66"/>
      <c r="I73" s="67"/>
      <c r="J73" s="78" t="s">
        <v>0</v>
      </c>
      <c r="K73" s="2"/>
    </row>
    <row r="74" spans="1:11" x14ac:dyDescent="0.25">
      <c r="A74" s="2"/>
      <c r="B74" s="79"/>
      <c r="C74" s="31" t="s">
        <v>41</v>
      </c>
      <c r="D74" s="68" t="s">
        <v>36</v>
      </c>
      <c r="E74" s="68" t="s">
        <v>11</v>
      </c>
      <c r="F74" s="68" t="s">
        <v>34</v>
      </c>
      <c r="G74" s="14" t="s">
        <v>0</v>
      </c>
      <c r="H74" s="40" t="s">
        <v>0</v>
      </c>
      <c r="I74" s="60">
        <v>12</v>
      </c>
      <c r="J74" s="62">
        <f>I74*0.2*0.2</f>
        <v>0.48000000000000009</v>
      </c>
      <c r="K74" s="2"/>
    </row>
    <row r="75" spans="1:11" x14ac:dyDescent="0.25">
      <c r="A75" s="2"/>
      <c r="B75" s="77"/>
      <c r="C75" s="63" t="s">
        <v>42</v>
      </c>
      <c r="D75" s="64"/>
      <c r="E75" s="64"/>
      <c r="F75" s="64" t="s">
        <v>0</v>
      </c>
      <c r="G75" s="65"/>
      <c r="H75" s="66"/>
      <c r="I75" s="67"/>
      <c r="J75" s="78"/>
      <c r="K75" s="2"/>
    </row>
    <row r="76" spans="1:11" x14ac:dyDescent="0.25">
      <c r="A76" s="2"/>
      <c r="B76" s="79"/>
      <c r="C76" s="31" t="s">
        <v>43</v>
      </c>
      <c r="D76" s="68" t="s">
        <v>36</v>
      </c>
      <c r="E76" s="68" t="s">
        <v>37</v>
      </c>
      <c r="F76" s="68" t="s">
        <v>34</v>
      </c>
      <c r="G76" s="14"/>
      <c r="H76" s="40"/>
      <c r="I76" s="60"/>
      <c r="J76" s="62">
        <f>15.28*3.5</f>
        <v>53.48</v>
      </c>
      <c r="K76" s="2"/>
    </row>
    <row r="77" spans="1:11" x14ac:dyDescent="0.25">
      <c r="A77" s="2"/>
      <c r="K77" s="2"/>
    </row>
    <row r="78" spans="1:11" x14ac:dyDescent="0.25">
      <c r="A78" s="2"/>
      <c r="B78" s="10" t="s">
        <v>49</v>
      </c>
      <c r="C78" s="718" t="s">
        <v>50</v>
      </c>
      <c r="D78" s="718"/>
      <c r="E78" s="718"/>
      <c r="F78" s="718"/>
      <c r="G78" s="718"/>
      <c r="H78" s="718"/>
      <c r="I78" s="718"/>
      <c r="J78" s="11"/>
      <c r="K78" s="2"/>
    </row>
    <row r="79" spans="1:11" x14ac:dyDescent="0.25">
      <c r="A79" s="2"/>
      <c r="B79" s="32"/>
      <c r="C79" s="59" t="s">
        <v>2</v>
      </c>
      <c r="D79" s="60" t="s">
        <v>3</v>
      </c>
      <c r="E79" s="60" t="s">
        <v>4</v>
      </c>
      <c r="F79" s="60" t="s">
        <v>5</v>
      </c>
      <c r="G79" s="61"/>
      <c r="H79" s="62"/>
      <c r="I79" s="60" t="s">
        <v>6</v>
      </c>
      <c r="J79" s="62" t="s">
        <v>7</v>
      </c>
      <c r="K79" s="2"/>
    </row>
    <row r="80" spans="1:11" x14ac:dyDescent="0.25">
      <c r="A80" s="2"/>
      <c r="B80" s="77"/>
      <c r="C80" s="63" t="s">
        <v>8</v>
      </c>
      <c r="D80" s="64"/>
      <c r="E80" s="64"/>
      <c r="F80" s="64"/>
      <c r="G80" s="65"/>
      <c r="H80" s="66"/>
      <c r="I80" s="67"/>
      <c r="J80" s="78" t="s">
        <v>0</v>
      </c>
      <c r="K80" s="2"/>
    </row>
    <row r="81" spans="1:11" x14ac:dyDescent="0.25">
      <c r="A81" s="2"/>
      <c r="B81" s="32" t="s">
        <v>0</v>
      </c>
      <c r="C81" s="31" t="s">
        <v>13</v>
      </c>
      <c r="D81" s="68" t="s">
        <v>10</v>
      </c>
      <c r="E81" s="68" t="s">
        <v>20</v>
      </c>
      <c r="F81" s="68" t="s">
        <v>15</v>
      </c>
      <c r="G81" s="14" t="s">
        <v>0</v>
      </c>
      <c r="H81" s="40" t="s">
        <v>0</v>
      </c>
      <c r="I81" s="60">
        <f>I307</f>
        <v>32</v>
      </c>
      <c r="J81" s="60">
        <f>J307</f>
        <v>53.760000000000005</v>
      </c>
      <c r="K81" s="2"/>
    </row>
    <row r="82" spans="1:11" x14ac:dyDescent="0.25">
      <c r="A82" s="2"/>
      <c r="B82" s="32" t="s">
        <v>0</v>
      </c>
      <c r="C82" s="31" t="s">
        <v>13</v>
      </c>
      <c r="D82" s="68" t="s">
        <v>10</v>
      </c>
      <c r="E82" s="68" t="s">
        <v>20</v>
      </c>
      <c r="F82" s="68" t="s">
        <v>16</v>
      </c>
      <c r="G82" s="14" t="s">
        <v>0</v>
      </c>
      <c r="H82" s="40" t="s">
        <v>0</v>
      </c>
      <c r="I82" s="60">
        <f>I308</f>
        <v>2</v>
      </c>
      <c r="J82" s="60">
        <f>J308</f>
        <v>3.7800000000000002</v>
      </c>
      <c r="K82" s="2"/>
    </row>
    <row r="83" spans="1:11" x14ac:dyDescent="0.25">
      <c r="A83" s="2"/>
      <c r="B83" s="32" t="s">
        <v>0</v>
      </c>
      <c r="C83" s="31" t="s">
        <v>9</v>
      </c>
      <c r="D83" s="68" t="s">
        <v>10</v>
      </c>
      <c r="E83" s="68" t="s">
        <v>20</v>
      </c>
      <c r="F83" s="68" t="s">
        <v>17</v>
      </c>
      <c r="G83" s="14" t="s">
        <v>0</v>
      </c>
      <c r="H83" s="40" t="s">
        <v>0</v>
      </c>
      <c r="I83" s="60">
        <f>I310</f>
        <v>8</v>
      </c>
      <c r="J83" s="60">
        <f>J310</f>
        <v>20.16</v>
      </c>
      <c r="K83" s="2"/>
    </row>
    <row r="84" spans="1:11" x14ac:dyDescent="0.25">
      <c r="A84" s="2"/>
      <c r="B84" s="32" t="s">
        <v>0</v>
      </c>
      <c r="C84" s="31" t="s">
        <v>9</v>
      </c>
      <c r="D84" s="68" t="s">
        <v>10</v>
      </c>
      <c r="E84" s="68" t="s">
        <v>20</v>
      </c>
      <c r="F84" s="68" t="s">
        <v>18</v>
      </c>
      <c r="G84" s="14" t="s">
        <v>0</v>
      </c>
      <c r="H84" s="40" t="s">
        <v>0</v>
      </c>
      <c r="I84" s="60">
        <f>I309</f>
        <v>13</v>
      </c>
      <c r="J84" s="60">
        <f>J309</f>
        <v>43.680000000000007</v>
      </c>
      <c r="K84" s="2"/>
    </row>
    <row r="85" spans="1:11" x14ac:dyDescent="0.25">
      <c r="A85" s="2"/>
      <c r="B85" s="32" t="s">
        <v>0</v>
      </c>
      <c r="C85" s="31" t="s">
        <v>13</v>
      </c>
      <c r="D85" s="68" t="s">
        <v>10</v>
      </c>
      <c r="E85" s="68" t="s">
        <v>22</v>
      </c>
      <c r="F85" s="68" t="s">
        <v>23</v>
      </c>
      <c r="G85" s="14" t="s">
        <v>0</v>
      </c>
      <c r="H85" s="40" t="s">
        <v>0</v>
      </c>
      <c r="I85" s="60">
        <f>I311</f>
        <v>9</v>
      </c>
      <c r="J85" s="62">
        <f>J311</f>
        <v>18.900000000000002</v>
      </c>
      <c r="K85" s="2"/>
    </row>
    <row r="86" spans="1:11" x14ac:dyDescent="0.25">
      <c r="A86" s="2"/>
      <c r="B86" s="32"/>
      <c r="C86" s="31" t="s">
        <v>25</v>
      </c>
      <c r="D86" s="68"/>
      <c r="E86" s="68"/>
      <c r="F86" s="68"/>
      <c r="G86" s="14"/>
      <c r="H86" s="40"/>
      <c r="I86" s="71"/>
      <c r="J86" s="62"/>
      <c r="K86" s="2"/>
    </row>
    <row r="87" spans="1:11" x14ac:dyDescent="0.25">
      <c r="A87" s="2"/>
      <c r="B87" s="39" t="s">
        <v>0</v>
      </c>
      <c r="C87" s="31" t="s">
        <v>13</v>
      </c>
      <c r="D87" s="68" t="s">
        <v>26</v>
      </c>
      <c r="E87" s="68" t="s">
        <v>27</v>
      </c>
      <c r="F87" s="68" t="s">
        <v>28</v>
      </c>
      <c r="G87" s="14" t="s">
        <v>0</v>
      </c>
      <c r="H87" s="40" t="s">
        <v>0</v>
      </c>
      <c r="I87" s="60">
        <f>I313</f>
        <v>8</v>
      </c>
      <c r="J87" s="60">
        <f>J313</f>
        <v>8.64</v>
      </c>
      <c r="K87" s="2"/>
    </row>
    <row r="88" spans="1:11" x14ac:dyDescent="0.25">
      <c r="A88" s="2"/>
      <c r="B88" s="77"/>
      <c r="C88" s="63" t="s">
        <v>31</v>
      </c>
      <c r="D88" s="64"/>
      <c r="E88" s="64"/>
      <c r="F88" s="64" t="s">
        <v>0</v>
      </c>
      <c r="G88" s="65"/>
      <c r="H88" s="66"/>
      <c r="I88" s="67"/>
      <c r="J88" s="78"/>
      <c r="K88" s="2"/>
    </row>
    <row r="89" spans="1:11" x14ac:dyDescent="0.25">
      <c r="A89" s="2"/>
      <c r="B89" s="32" t="s">
        <v>0</v>
      </c>
      <c r="C89" s="31" t="s">
        <v>32</v>
      </c>
      <c r="D89" s="68" t="s">
        <v>20</v>
      </c>
      <c r="E89" s="68" t="s">
        <v>33</v>
      </c>
      <c r="F89" s="68" t="s">
        <v>34</v>
      </c>
      <c r="G89" s="14" t="s">
        <v>0</v>
      </c>
      <c r="H89" s="40" t="s">
        <v>0</v>
      </c>
      <c r="I89" s="71" t="s">
        <v>0</v>
      </c>
      <c r="J89" s="62">
        <f>SUM(J315:J327)</f>
        <v>206.54879999999997</v>
      </c>
      <c r="K89" s="2"/>
    </row>
    <row r="90" spans="1:11" x14ac:dyDescent="0.25">
      <c r="A90" s="2"/>
      <c r="B90" s="79"/>
      <c r="C90" s="31" t="s">
        <v>35</v>
      </c>
      <c r="D90" s="68" t="s">
        <v>36</v>
      </c>
      <c r="E90" s="68" t="s">
        <v>37</v>
      </c>
      <c r="F90" s="68" t="s">
        <v>34</v>
      </c>
      <c r="G90" s="14"/>
      <c r="H90" s="40"/>
      <c r="I90" s="60">
        <v>4</v>
      </c>
      <c r="J90" s="62">
        <f>I90*0.4</f>
        <v>1.6</v>
      </c>
      <c r="K90" s="2"/>
    </row>
    <row r="91" spans="1:11" x14ac:dyDescent="0.25">
      <c r="A91" s="2"/>
      <c r="B91" s="77"/>
      <c r="C91" s="63" t="s">
        <v>38</v>
      </c>
      <c r="D91" s="64"/>
      <c r="E91" s="64"/>
      <c r="F91" s="64"/>
      <c r="G91" s="65"/>
      <c r="H91" s="66"/>
      <c r="I91" s="67"/>
      <c r="J91" s="78" t="s">
        <v>0</v>
      </c>
      <c r="K91" s="2"/>
    </row>
    <row r="92" spans="1:11" x14ac:dyDescent="0.25">
      <c r="A92" s="2"/>
      <c r="B92" s="32" t="s">
        <v>0</v>
      </c>
      <c r="C92" s="31" t="s">
        <v>39</v>
      </c>
      <c r="D92" s="68" t="s">
        <v>36</v>
      </c>
      <c r="E92" s="68" t="s">
        <v>11</v>
      </c>
      <c r="F92" s="68" t="s">
        <v>34</v>
      </c>
      <c r="G92" s="14" t="s">
        <v>0</v>
      </c>
      <c r="H92" s="40" t="s">
        <v>0</v>
      </c>
      <c r="I92" s="71" t="s">
        <v>0</v>
      </c>
      <c r="J92" s="62">
        <f>SUM(J329:J330)</f>
        <v>3.8500000000000005</v>
      </c>
      <c r="K92" s="2"/>
    </row>
    <row r="93" spans="1:11" x14ac:dyDescent="0.25">
      <c r="A93" s="2"/>
      <c r="B93" s="79"/>
      <c r="C93" s="31" t="s">
        <v>41</v>
      </c>
      <c r="D93" s="68" t="s">
        <v>36</v>
      </c>
      <c r="E93" s="68" t="s">
        <v>11</v>
      </c>
      <c r="F93" s="68" t="s">
        <v>34</v>
      </c>
      <c r="G93" s="14" t="s">
        <v>0</v>
      </c>
      <c r="H93" s="40" t="s">
        <v>0</v>
      </c>
      <c r="I93" s="60">
        <v>12</v>
      </c>
      <c r="J93" s="62">
        <f>I93*0.2*0.2</f>
        <v>0.48000000000000009</v>
      </c>
      <c r="K93" s="2"/>
    </row>
    <row r="94" spans="1:11" x14ac:dyDescent="0.25">
      <c r="A94" s="2"/>
      <c r="B94" s="77"/>
      <c r="C94" s="63" t="s">
        <v>42</v>
      </c>
      <c r="D94" s="64"/>
      <c r="E94" s="64"/>
      <c r="F94" s="64" t="s">
        <v>0</v>
      </c>
      <c r="G94" s="65"/>
      <c r="H94" s="66"/>
      <c r="I94" s="67"/>
      <c r="J94" s="78"/>
      <c r="K94" s="2"/>
    </row>
    <row r="95" spans="1:11" x14ac:dyDescent="0.25">
      <c r="A95" s="2"/>
      <c r="B95" s="79"/>
      <c r="C95" s="31" t="s">
        <v>43</v>
      </c>
      <c r="D95" s="68" t="s">
        <v>36</v>
      </c>
      <c r="E95" s="68" t="s">
        <v>37</v>
      </c>
      <c r="F95" s="68" t="s">
        <v>34</v>
      </c>
      <c r="G95" s="14"/>
      <c r="H95" s="40"/>
      <c r="I95" s="60"/>
      <c r="J95" s="62">
        <f>15.28*3.5</f>
        <v>53.48</v>
      </c>
      <c r="K95" s="2"/>
    </row>
    <row r="96" spans="1:11" x14ac:dyDescent="0.25">
      <c r="A96" s="2"/>
      <c r="K96" s="2"/>
    </row>
    <row r="97" spans="1:11" x14ac:dyDescent="0.25">
      <c r="A97" s="2"/>
      <c r="B97" s="10" t="s">
        <v>51</v>
      </c>
      <c r="C97" s="718" t="s">
        <v>52</v>
      </c>
      <c r="D97" s="718"/>
      <c r="E97" s="718"/>
      <c r="F97" s="718"/>
      <c r="G97" s="718"/>
      <c r="H97" s="718"/>
      <c r="I97" s="718"/>
      <c r="J97" s="11"/>
      <c r="K97" s="2"/>
    </row>
    <row r="98" spans="1:11" x14ac:dyDescent="0.25">
      <c r="A98" s="2"/>
      <c r="B98" s="32"/>
      <c r="C98" s="59" t="s">
        <v>2</v>
      </c>
      <c r="D98" s="60" t="s">
        <v>3</v>
      </c>
      <c r="E98" s="60" t="s">
        <v>4</v>
      </c>
      <c r="F98" s="60" t="s">
        <v>5</v>
      </c>
      <c r="G98" s="61"/>
      <c r="H98" s="62"/>
      <c r="I98" s="60" t="s">
        <v>6</v>
      </c>
      <c r="J98" s="62" t="s">
        <v>7</v>
      </c>
      <c r="K98" s="2"/>
    </row>
    <row r="99" spans="1:11" x14ac:dyDescent="0.25">
      <c r="A99" s="2"/>
      <c r="B99" s="77"/>
      <c r="C99" s="63" t="s">
        <v>8</v>
      </c>
      <c r="D99" s="64"/>
      <c r="E99" s="64"/>
      <c r="F99" s="64"/>
      <c r="G99" s="65"/>
      <c r="H99" s="66"/>
      <c r="I99" s="67"/>
      <c r="J99" s="78" t="s">
        <v>0</v>
      </c>
      <c r="K99" s="2"/>
    </row>
    <row r="100" spans="1:11" x14ac:dyDescent="0.25">
      <c r="A100" s="2"/>
      <c r="B100" s="32" t="s">
        <v>0</v>
      </c>
      <c r="C100" s="31" t="s">
        <v>13</v>
      </c>
      <c r="D100" s="68" t="s">
        <v>10</v>
      </c>
      <c r="E100" s="68" t="s">
        <v>20</v>
      </c>
      <c r="F100" s="68" t="s">
        <v>15</v>
      </c>
      <c r="G100" s="14" t="s">
        <v>0</v>
      </c>
      <c r="H100" s="40" t="s">
        <v>0</v>
      </c>
      <c r="I100" s="60">
        <f>I334</f>
        <v>33</v>
      </c>
      <c r="J100" s="60">
        <f>J334</f>
        <v>55.440000000000005</v>
      </c>
      <c r="K100" s="2"/>
    </row>
    <row r="101" spans="1:11" x14ac:dyDescent="0.25">
      <c r="A101" s="2"/>
      <c r="B101" s="32" t="s">
        <v>0</v>
      </c>
      <c r="C101" s="31" t="s">
        <v>13</v>
      </c>
      <c r="D101" s="68" t="s">
        <v>10</v>
      </c>
      <c r="E101" s="68" t="s">
        <v>20</v>
      </c>
      <c r="F101" s="68" t="s">
        <v>16</v>
      </c>
      <c r="G101" s="14" t="s">
        <v>0</v>
      </c>
      <c r="H101" s="40" t="s">
        <v>0</v>
      </c>
      <c r="I101" s="60">
        <f>I335</f>
        <v>2</v>
      </c>
      <c r="J101" s="60">
        <f>J335</f>
        <v>3.7800000000000002</v>
      </c>
      <c r="K101" s="2"/>
    </row>
    <row r="102" spans="1:11" x14ac:dyDescent="0.25">
      <c r="A102" s="2"/>
      <c r="B102" s="32" t="s">
        <v>0</v>
      </c>
      <c r="C102" s="31" t="s">
        <v>9</v>
      </c>
      <c r="D102" s="68" t="s">
        <v>10</v>
      </c>
      <c r="E102" s="68" t="s">
        <v>20</v>
      </c>
      <c r="F102" s="68" t="s">
        <v>17</v>
      </c>
      <c r="G102" s="14" t="s">
        <v>0</v>
      </c>
      <c r="H102" s="40" t="s">
        <v>0</v>
      </c>
      <c r="I102" s="60">
        <f>I337</f>
        <v>2</v>
      </c>
      <c r="J102" s="60">
        <f>J337</f>
        <v>5.04</v>
      </c>
      <c r="K102" s="2"/>
    </row>
    <row r="103" spans="1:11" x14ac:dyDescent="0.25">
      <c r="A103" s="2"/>
      <c r="B103" s="32" t="s">
        <v>0</v>
      </c>
      <c r="C103" s="31" t="s">
        <v>9</v>
      </c>
      <c r="D103" s="68" t="s">
        <v>10</v>
      </c>
      <c r="E103" s="68" t="s">
        <v>20</v>
      </c>
      <c r="F103" s="68" t="s">
        <v>18</v>
      </c>
      <c r="G103" s="14" t="s">
        <v>0</v>
      </c>
      <c r="H103" s="40" t="s">
        <v>0</v>
      </c>
      <c r="I103" s="60">
        <f>I336</f>
        <v>5</v>
      </c>
      <c r="J103" s="60">
        <f>J336</f>
        <v>16.8</v>
      </c>
      <c r="K103" s="2"/>
    </row>
    <row r="104" spans="1:11" x14ac:dyDescent="0.25">
      <c r="A104" s="2"/>
      <c r="B104" s="32" t="s">
        <v>0</v>
      </c>
      <c r="C104" s="31" t="s">
        <v>13</v>
      </c>
      <c r="D104" s="68" t="s">
        <v>10</v>
      </c>
      <c r="E104" s="68" t="s">
        <v>22</v>
      </c>
      <c r="F104" s="68" t="s">
        <v>23</v>
      </c>
      <c r="G104" s="14" t="s">
        <v>0</v>
      </c>
      <c r="H104" s="40" t="s">
        <v>0</v>
      </c>
      <c r="I104" s="60">
        <f>I338</f>
        <v>9</v>
      </c>
      <c r="J104" s="62">
        <f>J338</f>
        <v>18.900000000000002</v>
      </c>
      <c r="K104" s="2"/>
    </row>
    <row r="105" spans="1:11" x14ac:dyDescent="0.25">
      <c r="A105" s="2"/>
      <c r="B105" s="77"/>
      <c r="C105" s="63" t="s">
        <v>31</v>
      </c>
      <c r="D105" s="64"/>
      <c r="E105" s="64"/>
      <c r="F105" s="64" t="s">
        <v>0</v>
      </c>
      <c r="G105" s="65"/>
      <c r="H105" s="66"/>
      <c r="I105" s="67"/>
      <c r="J105" s="78"/>
      <c r="K105" s="2"/>
    </row>
    <row r="106" spans="1:11" x14ac:dyDescent="0.25">
      <c r="A106" s="2"/>
      <c r="B106" s="32" t="s">
        <v>0</v>
      </c>
      <c r="C106" s="31" t="s">
        <v>32</v>
      </c>
      <c r="D106" s="68" t="s">
        <v>20</v>
      </c>
      <c r="E106" s="68" t="s">
        <v>33</v>
      </c>
      <c r="F106" s="68" t="s">
        <v>34</v>
      </c>
      <c r="G106" s="14" t="s">
        <v>0</v>
      </c>
      <c r="H106" s="40" t="s">
        <v>0</v>
      </c>
      <c r="I106" s="71" t="s">
        <v>0</v>
      </c>
      <c r="J106" s="62">
        <f>SUM(J340:J346)</f>
        <v>200.54879999999997</v>
      </c>
      <c r="K106" s="2"/>
    </row>
    <row r="107" spans="1:11" x14ac:dyDescent="0.25">
      <c r="A107" s="2"/>
      <c r="B107" s="79"/>
      <c r="C107" s="31" t="s">
        <v>35</v>
      </c>
      <c r="D107" s="68" t="s">
        <v>36</v>
      </c>
      <c r="E107" s="68" t="s">
        <v>37</v>
      </c>
      <c r="F107" s="68" t="s">
        <v>34</v>
      </c>
      <c r="G107" s="14"/>
      <c r="H107" s="40"/>
      <c r="I107" s="60">
        <v>4</v>
      </c>
      <c r="J107" s="62">
        <f>I107*0.4</f>
        <v>1.6</v>
      </c>
      <c r="K107" s="2"/>
    </row>
    <row r="108" spans="1:11" x14ac:dyDescent="0.25">
      <c r="A108" s="2"/>
      <c r="B108" s="77"/>
      <c r="C108" s="63" t="s">
        <v>38</v>
      </c>
      <c r="D108" s="64"/>
      <c r="E108" s="64"/>
      <c r="F108" s="64"/>
      <c r="G108" s="65"/>
      <c r="H108" s="66"/>
      <c r="I108" s="67"/>
      <c r="J108" s="78" t="s">
        <v>0</v>
      </c>
      <c r="K108" s="2"/>
    </row>
    <row r="109" spans="1:11" x14ac:dyDescent="0.25">
      <c r="A109" s="2"/>
      <c r="B109" s="32" t="s">
        <v>0</v>
      </c>
      <c r="C109" s="31" t="s">
        <v>39</v>
      </c>
      <c r="D109" s="68" t="s">
        <v>36</v>
      </c>
      <c r="E109" s="68" t="s">
        <v>11</v>
      </c>
      <c r="F109" s="68" t="s">
        <v>34</v>
      </c>
      <c r="G109" s="14" t="s">
        <v>0</v>
      </c>
      <c r="H109" s="40" t="s">
        <v>0</v>
      </c>
      <c r="I109" s="71" t="s">
        <v>0</v>
      </c>
      <c r="J109" s="62">
        <f>SUM(J348)</f>
        <v>2.2000000000000002</v>
      </c>
      <c r="K109" s="2"/>
    </row>
    <row r="110" spans="1:11" x14ac:dyDescent="0.25">
      <c r="A110" s="2"/>
      <c r="B110" s="79"/>
      <c r="C110" s="31" t="s">
        <v>41</v>
      </c>
      <c r="D110" s="68" t="s">
        <v>36</v>
      </c>
      <c r="E110" s="68" t="s">
        <v>11</v>
      </c>
      <c r="F110" s="68" t="s">
        <v>34</v>
      </c>
      <c r="G110" s="14" t="s">
        <v>0</v>
      </c>
      <c r="H110" s="40" t="s">
        <v>0</v>
      </c>
      <c r="I110" s="60">
        <v>12</v>
      </c>
      <c r="J110" s="62">
        <f>I110*0.2*0.2</f>
        <v>0.48000000000000009</v>
      </c>
      <c r="K110" s="2"/>
    </row>
    <row r="111" spans="1:11" x14ac:dyDescent="0.25">
      <c r="A111" s="2"/>
      <c r="B111" s="77"/>
      <c r="C111" s="63" t="s">
        <v>42</v>
      </c>
      <c r="D111" s="64"/>
      <c r="E111" s="64"/>
      <c r="F111" s="64" t="s">
        <v>0</v>
      </c>
      <c r="G111" s="65"/>
      <c r="H111" s="66"/>
      <c r="I111" s="67"/>
      <c r="J111" s="78"/>
      <c r="K111" s="2"/>
    </row>
    <row r="112" spans="1:11" x14ac:dyDescent="0.25">
      <c r="A112" s="2"/>
      <c r="B112" s="79"/>
      <c r="C112" s="31" t="s">
        <v>43</v>
      </c>
      <c r="D112" s="68" t="s">
        <v>36</v>
      </c>
      <c r="E112" s="68" t="s">
        <v>37</v>
      </c>
      <c r="F112" s="68" t="s">
        <v>34</v>
      </c>
      <c r="G112" s="14"/>
      <c r="H112" s="40"/>
      <c r="I112" s="60"/>
      <c r="J112" s="62">
        <f>15.28*3.5</f>
        <v>53.48</v>
      </c>
      <c r="K112" s="2"/>
    </row>
    <row r="113" spans="1:11" x14ac:dyDescent="0.25">
      <c r="A113" s="2"/>
      <c r="K113" s="2"/>
    </row>
    <row r="114" spans="1:11" x14ac:dyDescent="0.25">
      <c r="A114" s="2"/>
      <c r="B114" s="10" t="s">
        <v>53</v>
      </c>
      <c r="C114" s="718" t="s">
        <v>54</v>
      </c>
      <c r="D114" s="718"/>
      <c r="E114" s="718"/>
      <c r="F114" s="718"/>
      <c r="G114" s="718"/>
      <c r="H114" s="718"/>
      <c r="I114" s="718"/>
      <c r="J114" s="11"/>
      <c r="K114" s="2"/>
    </row>
    <row r="115" spans="1:11" x14ac:dyDescent="0.25">
      <c r="A115" s="2"/>
      <c r="B115" s="32"/>
      <c r="C115" s="59" t="s">
        <v>2</v>
      </c>
      <c r="D115" s="60" t="s">
        <v>3</v>
      </c>
      <c r="E115" s="60" t="s">
        <v>4</v>
      </c>
      <c r="F115" s="60" t="s">
        <v>5</v>
      </c>
      <c r="G115" s="61"/>
      <c r="H115" s="62"/>
      <c r="I115" s="60" t="s">
        <v>6</v>
      </c>
      <c r="J115" s="62" t="s">
        <v>7</v>
      </c>
      <c r="K115" s="2"/>
    </row>
    <row r="116" spans="1:11" x14ac:dyDescent="0.25">
      <c r="A116" s="2"/>
      <c r="B116" s="77"/>
      <c r="C116" s="63" t="s">
        <v>8</v>
      </c>
      <c r="D116" s="64"/>
      <c r="E116" s="64"/>
      <c r="F116" s="64"/>
      <c r="G116" s="65"/>
      <c r="H116" s="66"/>
      <c r="I116" s="67"/>
      <c r="J116" s="78" t="s">
        <v>0</v>
      </c>
      <c r="K116" s="2"/>
    </row>
    <row r="117" spans="1:11" x14ac:dyDescent="0.25">
      <c r="A117" s="2"/>
      <c r="B117" s="32" t="s">
        <v>0</v>
      </c>
      <c r="C117" s="31" t="s">
        <v>13</v>
      </c>
      <c r="D117" s="68" t="s">
        <v>10</v>
      </c>
      <c r="E117" s="68" t="s">
        <v>20</v>
      </c>
      <c r="F117" s="68" t="s">
        <v>15</v>
      </c>
      <c r="G117" s="14" t="s">
        <v>0</v>
      </c>
      <c r="H117" s="40" t="s">
        <v>0</v>
      </c>
      <c r="I117" s="60">
        <f>I352</f>
        <v>42</v>
      </c>
      <c r="J117" s="60">
        <f>J352</f>
        <v>70.56</v>
      </c>
      <c r="K117" s="2"/>
    </row>
    <row r="118" spans="1:11" x14ac:dyDescent="0.25">
      <c r="A118" s="2"/>
      <c r="B118" s="32" t="s">
        <v>0</v>
      </c>
      <c r="C118" s="31" t="s">
        <v>13</v>
      </c>
      <c r="D118" s="68" t="s">
        <v>10</v>
      </c>
      <c r="E118" s="68" t="s">
        <v>20</v>
      </c>
      <c r="F118" s="68" t="s">
        <v>16</v>
      </c>
      <c r="G118" s="14" t="s">
        <v>0</v>
      </c>
      <c r="H118" s="40" t="s">
        <v>0</v>
      </c>
      <c r="I118" s="60">
        <f>I353</f>
        <v>4</v>
      </c>
      <c r="J118" s="60">
        <f>J353</f>
        <v>7.5600000000000005</v>
      </c>
      <c r="K118" s="2"/>
    </row>
    <row r="119" spans="1:11" x14ac:dyDescent="0.25">
      <c r="A119" s="2"/>
      <c r="B119" s="32" t="s">
        <v>0</v>
      </c>
      <c r="C119" s="31" t="s">
        <v>9</v>
      </c>
      <c r="D119" s="68" t="s">
        <v>10</v>
      </c>
      <c r="E119" s="68" t="s">
        <v>20</v>
      </c>
      <c r="F119" s="68" t="s">
        <v>17</v>
      </c>
      <c r="G119" s="14" t="s">
        <v>0</v>
      </c>
      <c r="H119" s="40" t="s">
        <v>0</v>
      </c>
      <c r="I119" s="60">
        <f>I355</f>
        <v>3</v>
      </c>
      <c r="J119" s="60">
        <f>J355</f>
        <v>7.5600000000000005</v>
      </c>
      <c r="K119" s="2"/>
    </row>
    <row r="120" spans="1:11" x14ac:dyDescent="0.25">
      <c r="A120" s="2"/>
      <c r="B120" s="32" t="s">
        <v>0</v>
      </c>
      <c r="C120" s="31" t="s">
        <v>9</v>
      </c>
      <c r="D120" s="68" t="s">
        <v>10</v>
      </c>
      <c r="E120" s="68" t="s">
        <v>20</v>
      </c>
      <c r="F120" s="68" t="s">
        <v>18</v>
      </c>
      <c r="G120" s="14" t="s">
        <v>0</v>
      </c>
      <c r="H120" s="40" t="s">
        <v>0</v>
      </c>
      <c r="I120" s="60">
        <f>I354</f>
        <v>3</v>
      </c>
      <c r="J120" s="60">
        <f>J354</f>
        <v>10.080000000000002</v>
      </c>
      <c r="K120" s="2"/>
    </row>
    <row r="121" spans="1:11" x14ac:dyDescent="0.25">
      <c r="A121" s="2"/>
      <c r="B121" s="32" t="s">
        <v>0</v>
      </c>
      <c r="C121" s="31" t="s">
        <v>13</v>
      </c>
      <c r="D121" s="68" t="s">
        <v>10</v>
      </c>
      <c r="E121" s="68" t="s">
        <v>22</v>
      </c>
      <c r="F121" s="68" t="s">
        <v>23</v>
      </c>
      <c r="G121" s="14" t="s">
        <v>0</v>
      </c>
      <c r="H121" s="40" t="s">
        <v>0</v>
      </c>
      <c r="I121" s="60">
        <f>I356</f>
        <v>9</v>
      </c>
      <c r="J121" s="62">
        <f>J356</f>
        <v>18.900000000000002</v>
      </c>
      <c r="K121" s="2"/>
    </row>
    <row r="122" spans="1:11" x14ac:dyDescent="0.25">
      <c r="A122" s="2"/>
      <c r="B122" s="77"/>
      <c r="C122" s="63" t="s">
        <v>31</v>
      </c>
      <c r="D122" s="64"/>
      <c r="E122" s="64"/>
      <c r="F122" s="64" t="s">
        <v>0</v>
      </c>
      <c r="G122" s="65"/>
      <c r="H122" s="66"/>
      <c r="I122" s="67"/>
      <c r="J122" s="78"/>
      <c r="K122" s="2"/>
    </row>
    <row r="123" spans="1:11" x14ac:dyDescent="0.25">
      <c r="A123" s="2"/>
      <c r="B123" s="32" t="s">
        <v>0</v>
      </c>
      <c r="C123" s="31" t="s">
        <v>32</v>
      </c>
      <c r="D123" s="68" t="s">
        <v>20</v>
      </c>
      <c r="E123" s="68" t="s">
        <v>33</v>
      </c>
      <c r="F123" s="68" t="s">
        <v>34</v>
      </c>
      <c r="G123" s="14" t="s">
        <v>0</v>
      </c>
      <c r="H123" s="40" t="s">
        <v>0</v>
      </c>
      <c r="I123" s="71" t="s">
        <v>0</v>
      </c>
      <c r="J123" s="62">
        <f>SUM(J358:J370)</f>
        <v>202.7388</v>
      </c>
      <c r="K123" s="2"/>
    </row>
    <row r="124" spans="1:11" x14ac:dyDescent="0.25">
      <c r="A124" s="2"/>
      <c r="B124" s="79"/>
      <c r="C124" s="31" t="s">
        <v>35</v>
      </c>
      <c r="D124" s="68" t="s">
        <v>36</v>
      </c>
      <c r="E124" s="68" t="s">
        <v>37</v>
      </c>
      <c r="F124" s="68" t="s">
        <v>34</v>
      </c>
      <c r="G124" s="14"/>
      <c r="H124" s="40"/>
      <c r="I124" s="60">
        <v>4</v>
      </c>
      <c r="J124" s="62">
        <f>I124*0.4</f>
        <v>1.6</v>
      </c>
      <c r="K124" s="2"/>
    </row>
    <row r="125" spans="1:11" x14ac:dyDescent="0.25">
      <c r="A125" s="2"/>
      <c r="B125" s="77"/>
      <c r="C125" s="63" t="s">
        <v>38</v>
      </c>
      <c r="D125" s="64"/>
      <c r="E125" s="64"/>
      <c r="F125" s="64"/>
      <c r="G125" s="65"/>
      <c r="H125" s="66"/>
      <c r="I125" s="67"/>
      <c r="J125" s="78" t="s">
        <v>0</v>
      </c>
      <c r="K125" s="2"/>
    </row>
    <row r="126" spans="1:11" x14ac:dyDescent="0.25">
      <c r="A126" s="2"/>
      <c r="B126" s="79"/>
      <c r="C126" s="31" t="s">
        <v>41</v>
      </c>
      <c r="D126" s="68" t="s">
        <v>36</v>
      </c>
      <c r="E126" s="68" t="s">
        <v>11</v>
      </c>
      <c r="F126" s="68" t="s">
        <v>34</v>
      </c>
      <c r="G126" s="14" t="s">
        <v>0</v>
      </c>
      <c r="H126" s="40" t="s">
        <v>0</v>
      </c>
      <c r="I126" s="60">
        <v>12</v>
      </c>
      <c r="J126" s="62">
        <f>I126*0.2*0.2</f>
        <v>0.48000000000000009</v>
      </c>
      <c r="K126" s="2"/>
    </row>
    <row r="127" spans="1:11" x14ac:dyDescent="0.25">
      <c r="A127" s="2"/>
      <c r="B127" s="77"/>
      <c r="C127" s="63" t="s">
        <v>42</v>
      </c>
      <c r="D127" s="64"/>
      <c r="E127" s="64"/>
      <c r="F127" s="64" t="s">
        <v>0</v>
      </c>
      <c r="G127" s="65"/>
      <c r="H127" s="66"/>
      <c r="I127" s="67"/>
      <c r="J127" s="78"/>
      <c r="K127" s="2"/>
    </row>
    <row r="128" spans="1:11" x14ac:dyDescent="0.25">
      <c r="A128" s="2"/>
      <c r="B128" s="79"/>
      <c r="C128" s="31" t="s">
        <v>43</v>
      </c>
      <c r="D128" s="68" t="s">
        <v>36</v>
      </c>
      <c r="E128" s="68" t="s">
        <v>37</v>
      </c>
      <c r="F128" s="68" t="s">
        <v>34</v>
      </c>
      <c r="G128" s="14"/>
      <c r="H128" s="40"/>
      <c r="I128" s="60"/>
      <c r="J128" s="62">
        <f>15.28*3.5</f>
        <v>53.48</v>
      </c>
      <c r="K128" s="2"/>
    </row>
    <row r="129" spans="1:11" x14ac:dyDescent="0.25">
      <c r="A129" s="2"/>
      <c r="K129" s="2"/>
    </row>
    <row r="130" spans="1:11" x14ac:dyDescent="0.25">
      <c r="A130" s="2"/>
      <c r="B130" s="10" t="s">
        <v>55</v>
      </c>
      <c r="C130" s="718" t="s">
        <v>56</v>
      </c>
      <c r="D130" s="718"/>
      <c r="E130" s="718"/>
      <c r="F130" s="718"/>
      <c r="G130" s="718"/>
      <c r="H130" s="718"/>
      <c r="I130" s="718"/>
      <c r="J130" s="11"/>
      <c r="K130" s="2"/>
    </row>
    <row r="131" spans="1:11" x14ac:dyDescent="0.25">
      <c r="A131" s="2"/>
      <c r="B131" s="32"/>
      <c r="C131" s="59" t="s">
        <v>2</v>
      </c>
      <c r="D131" s="60" t="s">
        <v>3</v>
      </c>
      <c r="E131" s="60" t="s">
        <v>4</v>
      </c>
      <c r="F131" s="60" t="s">
        <v>5</v>
      </c>
      <c r="G131" s="61"/>
      <c r="H131" s="62"/>
      <c r="I131" s="60" t="s">
        <v>6</v>
      </c>
      <c r="J131" s="62" t="s">
        <v>7</v>
      </c>
      <c r="K131" s="2"/>
    </row>
    <row r="132" spans="1:11" x14ac:dyDescent="0.25">
      <c r="A132" s="2"/>
      <c r="B132" s="77"/>
      <c r="C132" s="63" t="s">
        <v>8</v>
      </c>
      <c r="D132" s="64"/>
      <c r="E132" s="64"/>
      <c r="F132" s="64"/>
      <c r="G132" s="65"/>
      <c r="H132" s="66"/>
      <c r="I132" s="67"/>
      <c r="J132" s="78" t="s">
        <v>0</v>
      </c>
      <c r="K132" s="2"/>
    </row>
    <row r="133" spans="1:11" x14ac:dyDescent="0.25">
      <c r="A133" s="2"/>
      <c r="B133" s="32" t="s">
        <v>0</v>
      </c>
      <c r="C133" s="31" t="s">
        <v>13</v>
      </c>
      <c r="D133" s="68" t="s">
        <v>10</v>
      </c>
      <c r="E133" s="68" t="s">
        <v>20</v>
      </c>
      <c r="F133" s="68" t="s">
        <v>15</v>
      </c>
      <c r="G133" s="14" t="s">
        <v>0</v>
      </c>
      <c r="H133" s="40" t="s">
        <v>0</v>
      </c>
      <c r="I133" s="60">
        <f>$I$374</f>
        <v>33</v>
      </c>
      <c r="J133" s="60">
        <f>$J$374</f>
        <v>55.440000000000005</v>
      </c>
      <c r="K133" s="2"/>
    </row>
    <row r="134" spans="1:11" x14ac:dyDescent="0.25">
      <c r="A134" s="2"/>
      <c r="B134" s="32" t="s">
        <v>0</v>
      </c>
      <c r="C134" s="31" t="s">
        <v>13</v>
      </c>
      <c r="D134" s="68" t="s">
        <v>10</v>
      </c>
      <c r="E134" s="68" t="s">
        <v>20</v>
      </c>
      <c r="F134" s="68" t="s">
        <v>16</v>
      </c>
      <c r="G134" s="14" t="s">
        <v>0</v>
      </c>
      <c r="H134" s="40" t="s">
        <v>0</v>
      </c>
      <c r="I134" s="60">
        <f>$I$375</f>
        <v>4</v>
      </c>
      <c r="J134" s="60">
        <f>$J$375</f>
        <v>7.5600000000000005</v>
      </c>
      <c r="K134" s="2"/>
    </row>
    <row r="135" spans="1:11" x14ac:dyDescent="0.25">
      <c r="A135" s="2"/>
      <c r="B135" s="32" t="s">
        <v>0</v>
      </c>
      <c r="C135" s="31" t="s">
        <v>9</v>
      </c>
      <c r="D135" s="68" t="s">
        <v>10</v>
      </c>
      <c r="E135" s="68" t="s">
        <v>20</v>
      </c>
      <c r="F135" s="68" t="s">
        <v>17</v>
      </c>
      <c r="G135" s="14" t="s">
        <v>0</v>
      </c>
      <c r="H135" s="40" t="s">
        <v>0</v>
      </c>
      <c r="I135" s="60">
        <f>$I$376</f>
        <v>15</v>
      </c>
      <c r="J135" s="60">
        <f>$J$376</f>
        <v>37.799999999999997</v>
      </c>
      <c r="K135" s="2"/>
    </row>
    <row r="136" spans="1:11" x14ac:dyDescent="0.25">
      <c r="A136" s="2"/>
      <c r="B136" s="32" t="s">
        <v>0</v>
      </c>
      <c r="C136" s="31" t="s">
        <v>13</v>
      </c>
      <c r="D136" s="68" t="s">
        <v>10</v>
      </c>
      <c r="E136" s="68" t="s">
        <v>22</v>
      </c>
      <c r="F136" s="68" t="s">
        <v>23</v>
      </c>
      <c r="G136" s="14" t="s">
        <v>0</v>
      </c>
      <c r="H136" s="40" t="s">
        <v>0</v>
      </c>
      <c r="I136" s="60">
        <f>$I$377</f>
        <v>9</v>
      </c>
      <c r="J136" s="62">
        <f>$J$377</f>
        <v>18.900000000000002</v>
      </c>
      <c r="K136" s="2"/>
    </row>
    <row r="137" spans="1:11" x14ac:dyDescent="0.25">
      <c r="A137" s="2"/>
      <c r="B137" s="79"/>
      <c r="C137" s="31" t="s">
        <v>25</v>
      </c>
      <c r="D137" s="68"/>
      <c r="E137" s="68"/>
      <c r="F137" s="68"/>
      <c r="G137" s="14"/>
      <c r="H137" s="40"/>
      <c r="I137" s="60"/>
      <c r="J137" s="62"/>
      <c r="K137" s="2"/>
    </row>
    <row r="138" spans="1:11" x14ac:dyDescent="0.25">
      <c r="A138" s="2"/>
      <c r="B138" s="79"/>
      <c r="C138" s="31" t="s">
        <v>13</v>
      </c>
      <c r="D138" s="68" t="s">
        <v>26</v>
      </c>
      <c r="E138" s="68" t="s">
        <v>27</v>
      </c>
      <c r="F138" s="68" t="s">
        <v>28</v>
      </c>
      <c r="G138" s="14" t="s">
        <v>0</v>
      </c>
      <c r="H138" s="40"/>
      <c r="I138" s="60">
        <f>$I$379</f>
        <v>10</v>
      </c>
      <c r="J138" s="62">
        <f>$J$379</f>
        <v>10.8</v>
      </c>
      <c r="K138" s="2"/>
    </row>
    <row r="139" spans="1:11" x14ac:dyDescent="0.25">
      <c r="A139" s="2"/>
      <c r="B139" s="77"/>
      <c r="C139" s="63" t="s">
        <v>31</v>
      </c>
      <c r="D139" s="64"/>
      <c r="E139" s="64"/>
      <c r="F139" s="64" t="s">
        <v>0</v>
      </c>
      <c r="G139" s="65"/>
      <c r="H139" s="66"/>
      <c r="I139" s="67"/>
      <c r="J139" s="78"/>
      <c r="K139" s="2"/>
    </row>
    <row r="140" spans="1:11" x14ac:dyDescent="0.25">
      <c r="A140" s="2"/>
      <c r="B140" s="32" t="s">
        <v>0</v>
      </c>
      <c r="C140" s="31" t="s">
        <v>32</v>
      </c>
      <c r="D140" s="68" t="s">
        <v>20</v>
      </c>
      <c r="E140" s="68" t="s">
        <v>33</v>
      </c>
      <c r="F140" s="68" t="s">
        <v>34</v>
      </c>
      <c r="G140" s="14" t="s">
        <v>0</v>
      </c>
      <c r="H140" s="40" t="s">
        <v>0</v>
      </c>
      <c r="I140" s="71" t="s">
        <v>0</v>
      </c>
      <c r="J140" s="62">
        <f>SUM($J$381:$J$394)</f>
        <v>205.70879999999997</v>
      </c>
      <c r="K140" s="2"/>
    </row>
    <row r="141" spans="1:11" x14ac:dyDescent="0.25">
      <c r="A141" s="2"/>
      <c r="B141" s="79"/>
      <c r="C141" s="31" t="s">
        <v>35</v>
      </c>
      <c r="D141" s="68" t="s">
        <v>36</v>
      </c>
      <c r="E141" s="68" t="s">
        <v>37</v>
      </c>
      <c r="F141" s="68" t="s">
        <v>34</v>
      </c>
      <c r="G141" s="14"/>
      <c r="H141" s="40"/>
      <c r="I141" s="60">
        <v>4</v>
      </c>
      <c r="J141" s="62">
        <f>I141*0.4</f>
        <v>1.6</v>
      </c>
      <c r="K141" s="2"/>
    </row>
    <row r="142" spans="1:11" x14ac:dyDescent="0.25">
      <c r="A142" s="2"/>
      <c r="B142" s="77"/>
      <c r="C142" s="63" t="s">
        <v>38</v>
      </c>
      <c r="D142" s="64"/>
      <c r="E142" s="64"/>
      <c r="F142" s="64"/>
      <c r="G142" s="65"/>
      <c r="H142" s="66"/>
      <c r="I142" s="67"/>
      <c r="J142" s="78" t="s">
        <v>0</v>
      </c>
      <c r="K142" s="2"/>
    </row>
    <row r="143" spans="1:11" x14ac:dyDescent="0.25">
      <c r="A143" s="2"/>
      <c r="B143" s="79"/>
      <c r="C143" s="31" t="s">
        <v>41</v>
      </c>
      <c r="D143" s="68" t="s">
        <v>36</v>
      </c>
      <c r="E143" s="68" t="s">
        <v>11</v>
      </c>
      <c r="F143" s="68" t="s">
        <v>34</v>
      </c>
      <c r="G143" s="14" t="s">
        <v>0</v>
      </c>
      <c r="H143" s="40" t="s">
        <v>0</v>
      </c>
      <c r="I143" s="60">
        <v>12</v>
      </c>
      <c r="J143" s="62">
        <f>I143*0.2*0.2</f>
        <v>0.48000000000000009</v>
      </c>
      <c r="K143" s="2"/>
    </row>
    <row r="144" spans="1:11" x14ac:dyDescent="0.25">
      <c r="A144" s="2"/>
      <c r="B144" s="77"/>
      <c r="C144" s="63" t="s">
        <v>42</v>
      </c>
      <c r="D144" s="64"/>
      <c r="E144" s="64"/>
      <c r="F144" s="64" t="s">
        <v>0</v>
      </c>
      <c r="G144" s="65"/>
      <c r="H144" s="66"/>
      <c r="I144" s="67"/>
      <c r="J144" s="78"/>
      <c r="K144" s="2"/>
    </row>
    <row r="145" spans="1:11" x14ac:dyDescent="0.25">
      <c r="A145" s="2"/>
      <c r="B145" s="79"/>
      <c r="C145" s="31" t="s">
        <v>43</v>
      </c>
      <c r="D145" s="68" t="s">
        <v>36</v>
      </c>
      <c r="E145" s="68" t="s">
        <v>37</v>
      </c>
      <c r="F145" s="68" t="s">
        <v>34</v>
      </c>
      <c r="G145" s="14"/>
      <c r="H145" s="40"/>
      <c r="I145" s="60"/>
      <c r="J145" s="62">
        <f>15.28*3.5</f>
        <v>53.48</v>
      </c>
      <c r="K145" s="2"/>
    </row>
    <row r="146" spans="1:11" x14ac:dyDescent="0.25">
      <c r="A146" s="2"/>
      <c r="K146" s="2"/>
    </row>
    <row r="147" spans="1:11" x14ac:dyDescent="0.25">
      <c r="A147" s="2"/>
      <c r="B147" s="10" t="s">
        <v>57</v>
      </c>
      <c r="C147" s="718" t="s">
        <v>58</v>
      </c>
      <c r="D147" s="718"/>
      <c r="E147" s="718"/>
      <c r="F147" s="718"/>
      <c r="G147" s="718"/>
      <c r="H147" s="718"/>
      <c r="I147" s="718"/>
      <c r="J147" s="11"/>
      <c r="K147" s="2"/>
    </row>
    <row r="148" spans="1:11" x14ac:dyDescent="0.25">
      <c r="A148" s="2"/>
      <c r="B148" s="32"/>
      <c r="C148" s="59" t="s">
        <v>2</v>
      </c>
      <c r="D148" s="60" t="s">
        <v>3</v>
      </c>
      <c r="E148" s="60" t="s">
        <v>4</v>
      </c>
      <c r="F148" s="60" t="s">
        <v>5</v>
      </c>
      <c r="G148" s="61"/>
      <c r="H148" s="62"/>
      <c r="I148" s="60" t="s">
        <v>6</v>
      </c>
      <c r="J148" s="62" t="s">
        <v>7</v>
      </c>
      <c r="K148" s="2"/>
    </row>
    <row r="149" spans="1:11" x14ac:dyDescent="0.25">
      <c r="A149" s="2"/>
      <c r="B149" s="77"/>
      <c r="C149" s="63" t="s">
        <v>8</v>
      </c>
      <c r="D149" s="64"/>
      <c r="E149" s="64"/>
      <c r="F149" s="64"/>
      <c r="G149" s="65"/>
      <c r="H149" s="66"/>
      <c r="I149" s="67"/>
      <c r="J149" s="78" t="s">
        <v>0</v>
      </c>
      <c r="K149" s="2"/>
    </row>
    <row r="150" spans="1:11" x14ac:dyDescent="0.25">
      <c r="A150" s="2"/>
      <c r="B150" s="32" t="s">
        <v>0</v>
      </c>
      <c r="C150" s="31" t="s">
        <v>13</v>
      </c>
      <c r="D150" s="68" t="s">
        <v>10</v>
      </c>
      <c r="E150" s="68" t="s">
        <v>20</v>
      </c>
      <c r="F150" s="68" t="s">
        <v>15</v>
      </c>
      <c r="G150" s="14" t="s">
        <v>0</v>
      </c>
      <c r="H150" s="40" t="s">
        <v>0</v>
      </c>
      <c r="I150" s="60">
        <f>$I$374</f>
        <v>33</v>
      </c>
      <c r="J150" s="60">
        <f>$J$374</f>
        <v>55.440000000000005</v>
      </c>
      <c r="K150" s="2"/>
    </row>
    <row r="151" spans="1:11" x14ac:dyDescent="0.25">
      <c r="A151" s="2"/>
      <c r="B151" s="32" t="s">
        <v>0</v>
      </c>
      <c r="C151" s="31" t="s">
        <v>13</v>
      </c>
      <c r="D151" s="68" t="s">
        <v>10</v>
      </c>
      <c r="E151" s="68" t="s">
        <v>20</v>
      </c>
      <c r="F151" s="68" t="s">
        <v>16</v>
      </c>
      <c r="G151" s="14" t="s">
        <v>0</v>
      </c>
      <c r="H151" s="40" t="s">
        <v>0</v>
      </c>
      <c r="I151" s="60">
        <f>$I$375</f>
        <v>4</v>
      </c>
      <c r="J151" s="60">
        <f>$J$375</f>
        <v>7.5600000000000005</v>
      </c>
      <c r="K151" s="2"/>
    </row>
    <row r="152" spans="1:11" x14ac:dyDescent="0.25">
      <c r="A152" s="2"/>
      <c r="B152" s="32" t="s">
        <v>0</v>
      </c>
      <c r="C152" s="31" t="s">
        <v>9</v>
      </c>
      <c r="D152" s="68" t="s">
        <v>10</v>
      </c>
      <c r="E152" s="68" t="s">
        <v>20</v>
      </c>
      <c r="F152" s="68" t="s">
        <v>17</v>
      </c>
      <c r="G152" s="14" t="s">
        <v>0</v>
      </c>
      <c r="H152" s="40" t="s">
        <v>0</v>
      </c>
      <c r="I152" s="60">
        <f>$I$376</f>
        <v>15</v>
      </c>
      <c r="J152" s="60">
        <f>$J$376</f>
        <v>37.799999999999997</v>
      </c>
      <c r="K152" s="2"/>
    </row>
    <row r="153" spans="1:11" x14ac:dyDescent="0.25">
      <c r="A153" s="2"/>
      <c r="B153" s="32" t="s">
        <v>0</v>
      </c>
      <c r="C153" s="31" t="s">
        <v>13</v>
      </c>
      <c r="D153" s="68" t="s">
        <v>10</v>
      </c>
      <c r="E153" s="68" t="s">
        <v>22</v>
      </c>
      <c r="F153" s="68" t="s">
        <v>23</v>
      </c>
      <c r="G153" s="14" t="s">
        <v>0</v>
      </c>
      <c r="H153" s="40" t="s">
        <v>0</v>
      </c>
      <c r="I153" s="60">
        <f>$I$377</f>
        <v>9</v>
      </c>
      <c r="J153" s="62">
        <f>$J$377</f>
        <v>18.900000000000002</v>
      </c>
      <c r="K153" s="2"/>
    </row>
    <row r="154" spans="1:11" x14ac:dyDescent="0.25">
      <c r="A154" s="2"/>
      <c r="B154" s="79"/>
      <c r="C154" s="31" t="s">
        <v>25</v>
      </c>
      <c r="D154" s="68"/>
      <c r="E154" s="68"/>
      <c r="F154" s="68"/>
      <c r="G154" s="14"/>
      <c r="H154" s="40"/>
      <c r="I154" s="60"/>
      <c r="J154" s="62"/>
      <c r="K154" s="2"/>
    </row>
    <row r="155" spans="1:11" x14ac:dyDescent="0.25">
      <c r="A155" s="2"/>
      <c r="B155" s="79"/>
      <c r="C155" s="31" t="s">
        <v>13</v>
      </c>
      <c r="D155" s="68" t="s">
        <v>26</v>
      </c>
      <c r="E155" s="68" t="s">
        <v>27</v>
      </c>
      <c r="F155" s="68" t="s">
        <v>28</v>
      </c>
      <c r="G155" s="14" t="s">
        <v>0</v>
      </c>
      <c r="H155" s="40"/>
      <c r="I155" s="60">
        <f>$I$379</f>
        <v>10</v>
      </c>
      <c r="J155" s="62">
        <f>$J$379</f>
        <v>10.8</v>
      </c>
      <c r="K155" s="2"/>
    </row>
    <row r="156" spans="1:11" x14ac:dyDescent="0.25">
      <c r="A156" s="2"/>
      <c r="B156" s="77"/>
      <c r="C156" s="63" t="s">
        <v>31</v>
      </c>
      <c r="D156" s="64"/>
      <c r="E156" s="64"/>
      <c r="F156" s="64" t="s">
        <v>0</v>
      </c>
      <c r="G156" s="65"/>
      <c r="H156" s="66"/>
      <c r="I156" s="67"/>
      <c r="J156" s="78"/>
      <c r="K156" s="2"/>
    </row>
    <row r="157" spans="1:11" x14ac:dyDescent="0.25">
      <c r="A157" s="2"/>
      <c r="B157" s="32" t="s">
        <v>0</v>
      </c>
      <c r="C157" s="31" t="s">
        <v>32</v>
      </c>
      <c r="D157" s="68" t="s">
        <v>20</v>
      </c>
      <c r="E157" s="68" t="s">
        <v>33</v>
      </c>
      <c r="F157" s="68" t="s">
        <v>34</v>
      </c>
      <c r="G157" s="14" t="s">
        <v>0</v>
      </c>
      <c r="H157" s="40" t="s">
        <v>0</v>
      </c>
      <c r="I157" s="71" t="s">
        <v>0</v>
      </c>
      <c r="J157" s="62">
        <f>SUM($J$381:$J$394)</f>
        <v>205.70879999999997</v>
      </c>
      <c r="K157" s="2"/>
    </row>
    <row r="158" spans="1:11" x14ac:dyDescent="0.25">
      <c r="A158" s="2"/>
      <c r="B158" s="79"/>
      <c r="C158" s="31" t="s">
        <v>35</v>
      </c>
      <c r="D158" s="68" t="s">
        <v>36</v>
      </c>
      <c r="E158" s="68" t="s">
        <v>37</v>
      </c>
      <c r="F158" s="68" t="s">
        <v>34</v>
      </c>
      <c r="G158" s="14"/>
      <c r="H158" s="40"/>
      <c r="I158" s="60">
        <v>4</v>
      </c>
      <c r="J158" s="62">
        <f>I158*0.4</f>
        <v>1.6</v>
      </c>
      <c r="K158" s="2"/>
    </row>
    <row r="159" spans="1:11" x14ac:dyDescent="0.25">
      <c r="A159" s="2"/>
      <c r="B159" s="77"/>
      <c r="C159" s="63" t="s">
        <v>38</v>
      </c>
      <c r="D159" s="64"/>
      <c r="E159" s="64"/>
      <c r="F159" s="64"/>
      <c r="G159" s="65"/>
      <c r="H159" s="66"/>
      <c r="I159" s="67"/>
      <c r="J159" s="78" t="s">
        <v>0</v>
      </c>
      <c r="K159" s="2"/>
    </row>
    <row r="160" spans="1:11" x14ac:dyDescent="0.25">
      <c r="A160" s="2"/>
      <c r="B160" s="79"/>
      <c r="C160" s="31" t="s">
        <v>41</v>
      </c>
      <c r="D160" s="68" t="s">
        <v>36</v>
      </c>
      <c r="E160" s="68" t="s">
        <v>11</v>
      </c>
      <c r="F160" s="68" t="s">
        <v>34</v>
      </c>
      <c r="G160" s="14" t="s">
        <v>0</v>
      </c>
      <c r="H160" s="40" t="s">
        <v>0</v>
      </c>
      <c r="I160" s="60">
        <v>12</v>
      </c>
      <c r="J160" s="62">
        <f>I160*0.2*0.2</f>
        <v>0.48000000000000009</v>
      </c>
      <c r="K160" s="2"/>
    </row>
    <row r="161" spans="1:11" x14ac:dyDescent="0.25">
      <c r="A161" s="2"/>
      <c r="B161" s="77"/>
      <c r="C161" s="63" t="s">
        <v>42</v>
      </c>
      <c r="D161" s="64"/>
      <c r="E161" s="64"/>
      <c r="F161" s="64" t="s">
        <v>0</v>
      </c>
      <c r="G161" s="65"/>
      <c r="H161" s="66"/>
      <c r="I161" s="67"/>
      <c r="J161" s="78"/>
      <c r="K161" s="2"/>
    </row>
    <row r="162" spans="1:11" x14ac:dyDescent="0.25">
      <c r="A162" s="2"/>
      <c r="B162" s="79"/>
      <c r="C162" s="31" t="s">
        <v>43</v>
      </c>
      <c r="D162" s="68" t="s">
        <v>36</v>
      </c>
      <c r="E162" s="68" t="s">
        <v>37</v>
      </c>
      <c r="F162" s="68" t="s">
        <v>34</v>
      </c>
      <c r="G162" s="14"/>
      <c r="H162" s="40"/>
      <c r="I162" s="60"/>
      <c r="J162" s="62">
        <f>15.28*3.5</f>
        <v>53.48</v>
      </c>
      <c r="K162" s="2"/>
    </row>
    <row r="163" spans="1:11" x14ac:dyDescent="0.25">
      <c r="A163" s="2"/>
      <c r="K163" s="2"/>
    </row>
    <row r="164" spans="1:11" x14ac:dyDescent="0.25">
      <c r="A164" s="2"/>
      <c r="B164" s="10" t="s">
        <v>59</v>
      </c>
      <c r="C164" s="718" t="s">
        <v>60</v>
      </c>
      <c r="D164" s="718"/>
      <c r="E164" s="718"/>
      <c r="F164" s="718"/>
      <c r="G164" s="718"/>
      <c r="H164" s="718"/>
      <c r="I164" s="718"/>
      <c r="J164" s="11"/>
      <c r="K164" s="2"/>
    </row>
    <row r="165" spans="1:11" x14ac:dyDescent="0.25">
      <c r="A165" s="2"/>
      <c r="B165" s="32"/>
      <c r="C165" s="59" t="s">
        <v>2</v>
      </c>
      <c r="D165" s="60" t="s">
        <v>3</v>
      </c>
      <c r="E165" s="60" t="s">
        <v>4</v>
      </c>
      <c r="F165" s="60" t="s">
        <v>5</v>
      </c>
      <c r="G165" s="61"/>
      <c r="H165" s="62"/>
      <c r="I165" s="60" t="s">
        <v>6</v>
      </c>
      <c r="J165" s="62" t="s">
        <v>7</v>
      </c>
      <c r="K165" s="2"/>
    </row>
    <row r="166" spans="1:11" x14ac:dyDescent="0.25">
      <c r="A166" s="2"/>
      <c r="B166" s="77"/>
      <c r="C166" s="63" t="s">
        <v>8</v>
      </c>
      <c r="D166" s="64"/>
      <c r="E166" s="64"/>
      <c r="F166" s="64"/>
      <c r="G166" s="65"/>
      <c r="H166" s="66"/>
      <c r="I166" s="67"/>
      <c r="J166" s="78" t="s">
        <v>0</v>
      </c>
      <c r="K166" s="2"/>
    </row>
    <row r="167" spans="1:11" x14ac:dyDescent="0.25">
      <c r="A167" s="2"/>
      <c r="B167" s="32" t="s">
        <v>0</v>
      </c>
      <c r="C167" s="31" t="s">
        <v>13</v>
      </c>
      <c r="D167" s="68" t="s">
        <v>10</v>
      </c>
      <c r="E167" s="68" t="s">
        <v>20</v>
      </c>
      <c r="F167" s="68" t="s">
        <v>15</v>
      </c>
      <c r="G167" s="14" t="s">
        <v>0</v>
      </c>
      <c r="H167" s="40" t="s">
        <v>0</v>
      </c>
      <c r="I167" s="60">
        <f>$I$374</f>
        <v>33</v>
      </c>
      <c r="J167" s="60">
        <f>$J$374</f>
        <v>55.440000000000005</v>
      </c>
      <c r="K167" s="2"/>
    </row>
    <row r="168" spans="1:11" x14ac:dyDescent="0.25">
      <c r="A168" s="2"/>
      <c r="B168" s="32" t="s">
        <v>0</v>
      </c>
      <c r="C168" s="31" t="s">
        <v>13</v>
      </c>
      <c r="D168" s="68" t="s">
        <v>10</v>
      </c>
      <c r="E168" s="68" t="s">
        <v>20</v>
      </c>
      <c r="F168" s="68" t="s">
        <v>16</v>
      </c>
      <c r="G168" s="14" t="s">
        <v>0</v>
      </c>
      <c r="H168" s="40" t="s">
        <v>0</v>
      </c>
      <c r="I168" s="60">
        <f>$I$375</f>
        <v>4</v>
      </c>
      <c r="J168" s="60">
        <f>$J$375</f>
        <v>7.5600000000000005</v>
      </c>
      <c r="K168" s="2"/>
    </row>
    <row r="169" spans="1:11" x14ac:dyDescent="0.25">
      <c r="A169" s="2"/>
      <c r="B169" s="32" t="s">
        <v>0</v>
      </c>
      <c r="C169" s="31" t="s">
        <v>9</v>
      </c>
      <c r="D169" s="68" t="s">
        <v>10</v>
      </c>
      <c r="E169" s="68" t="s">
        <v>20</v>
      </c>
      <c r="F169" s="68" t="s">
        <v>17</v>
      </c>
      <c r="G169" s="14" t="s">
        <v>0</v>
      </c>
      <c r="H169" s="40" t="s">
        <v>0</v>
      </c>
      <c r="I169" s="60">
        <f>$I$376</f>
        <v>15</v>
      </c>
      <c r="J169" s="60">
        <f>$J$376</f>
        <v>37.799999999999997</v>
      </c>
      <c r="K169" s="2"/>
    </row>
    <row r="170" spans="1:11" x14ac:dyDescent="0.25">
      <c r="A170" s="2"/>
      <c r="B170" s="32" t="s">
        <v>0</v>
      </c>
      <c r="C170" s="31" t="s">
        <v>13</v>
      </c>
      <c r="D170" s="68" t="s">
        <v>10</v>
      </c>
      <c r="E170" s="68" t="s">
        <v>22</v>
      </c>
      <c r="F170" s="68" t="s">
        <v>23</v>
      </c>
      <c r="G170" s="14" t="s">
        <v>0</v>
      </c>
      <c r="H170" s="40" t="s">
        <v>0</v>
      </c>
      <c r="I170" s="60">
        <f>$I$377</f>
        <v>9</v>
      </c>
      <c r="J170" s="62">
        <f>$J$377</f>
        <v>18.900000000000002</v>
      </c>
      <c r="K170" s="2"/>
    </row>
    <row r="171" spans="1:11" x14ac:dyDescent="0.25">
      <c r="A171" s="2"/>
      <c r="B171" s="79"/>
      <c r="C171" s="31" t="s">
        <v>25</v>
      </c>
      <c r="D171" s="68"/>
      <c r="E171" s="68"/>
      <c r="F171" s="68"/>
      <c r="G171" s="14"/>
      <c r="H171" s="40"/>
      <c r="I171" s="60"/>
      <c r="J171" s="62"/>
      <c r="K171" s="2"/>
    </row>
    <row r="172" spans="1:11" x14ac:dyDescent="0.25">
      <c r="A172" s="2"/>
      <c r="B172" s="79"/>
      <c r="C172" s="31" t="s">
        <v>13</v>
      </c>
      <c r="D172" s="68" t="s">
        <v>26</v>
      </c>
      <c r="E172" s="68" t="s">
        <v>27</v>
      </c>
      <c r="F172" s="68" t="s">
        <v>28</v>
      </c>
      <c r="G172" s="14" t="s">
        <v>0</v>
      </c>
      <c r="H172" s="40"/>
      <c r="I172" s="60">
        <f>$I$379</f>
        <v>10</v>
      </c>
      <c r="J172" s="62">
        <f>$J$379</f>
        <v>10.8</v>
      </c>
      <c r="K172" s="2"/>
    </row>
    <row r="173" spans="1:11" x14ac:dyDescent="0.25">
      <c r="A173" s="2"/>
      <c r="B173" s="77"/>
      <c r="C173" s="63" t="s">
        <v>31</v>
      </c>
      <c r="D173" s="64"/>
      <c r="E173" s="64"/>
      <c r="F173" s="64" t="s">
        <v>0</v>
      </c>
      <c r="G173" s="65"/>
      <c r="H173" s="66"/>
      <c r="I173" s="67"/>
      <c r="J173" s="78"/>
      <c r="K173" s="2"/>
    </row>
    <row r="174" spans="1:11" x14ac:dyDescent="0.25">
      <c r="A174" s="2"/>
      <c r="B174" s="32" t="s">
        <v>0</v>
      </c>
      <c r="C174" s="31" t="s">
        <v>32</v>
      </c>
      <c r="D174" s="68" t="s">
        <v>20</v>
      </c>
      <c r="E174" s="68" t="s">
        <v>33</v>
      </c>
      <c r="F174" s="68" t="s">
        <v>34</v>
      </c>
      <c r="G174" s="14" t="s">
        <v>0</v>
      </c>
      <c r="H174" s="40" t="s">
        <v>0</v>
      </c>
      <c r="I174" s="71" t="s">
        <v>0</v>
      </c>
      <c r="J174" s="62">
        <f>SUM($J$381:$J$394)</f>
        <v>205.70879999999997</v>
      </c>
      <c r="K174" s="2"/>
    </row>
    <row r="175" spans="1:11" x14ac:dyDescent="0.25">
      <c r="A175" s="2"/>
      <c r="B175" s="79"/>
      <c r="C175" s="31" t="s">
        <v>35</v>
      </c>
      <c r="D175" s="68" t="s">
        <v>36</v>
      </c>
      <c r="E175" s="68" t="s">
        <v>37</v>
      </c>
      <c r="F175" s="68" t="s">
        <v>34</v>
      </c>
      <c r="G175" s="14"/>
      <c r="H175" s="40"/>
      <c r="I175" s="60">
        <v>4</v>
      </c>
      <c r="J175" s="62">
        <f>I175*0.4</f>
        <v>1.6</v>
      </c>
      <c r="K175" s="2"/>
    </row>
    <row r="176" spans="1:11" x14ac:dyDescent="0.25">
      <c r="A176" s="2"/>
      <c r="B176" s="77"/>
      <c r="C176" s="63" t="s">
        <v>38</v>
      </c>
      <c r="D176" s="64"/>
      <c r="E176" s="64"/>
      <c r="F176" s="64"/>
      <c r="G176" s="65"/>
      <c r="H176" s="66"/>
      <c r="I176" s="67"/>
      <c r="J176" s="78" t="s">
        <v>0</v>
      </c>
      <c r="K176" s="2"/>
    </row>
    <row r="177" spans="1:11" x14ac:dyDescent="0.25">
      <c r="A177" s="2"/>
      <c r="B177" s="79"/>
      <c r="C177" s="31" t="s">
        <v>41</v>
      </c>
      <c r="D177" s="68" t="s">
        <v>36</v>
      </c>
      <c r="E177" s="68" t="s">
        <v>11</v>
      </c>
      <c r="F177" s="68" t="s">
        <v>34</v>
      </c>
      <c r="G177" s="14" t="s">
        <v>0</v>
      </c>
      <c r="H177" s="40" t="s">
        <v>0</v>
      </c>
      <c r="I177" s="60">
        <v>12</v>
      </c>
      <c r="J177" s="62">
        <f>I177*0.2*0.2</f>
        <v>0.48000000000000009</v>
      </c>
      <c r="K177" s="2"/>
    </row>
    <row r="178" spans="1:11" x14ac:dyDescent="0.25">
      <c r="A178" s="2"/>
      <c r="B178" s="77"/>
      <c r="C178" s="63" t="s">
        <v>42</v>
      </c>
      <c r="D178" s="64"/>
      <c r="E178" s="64"/>
      <c r="F178" s="64" t="s">
        <v>0</v>
      </c>
      <c r="G178" s="65"/>
      <c r="H178" s="66"/>
      <c r="I178" s="67"/>
      <c r="J178" s="78"/>
      <c r="K178" s="2"/>
    </row>
    <row r="179" spans="1:11" x14ac:dyDescent="0.25">
      <c r="A179" s="2"/>
      <c r="B179" s="79"/>
      <c r="C179" s="31" t="s">
        <v>43</v>
      </c>
      <c r="D179" s="68" t="s">
        <v>36</v>
      </c>
      <c r="E179" s="68" t="s">
        <v>37</v>
      </c>
      <c r="F179" s="68" t="s">
        <v>34</v>
      </c>
      <c r="G179" s="14"/>
      <c r="H179" s="40"/>
      <c r="I179" s="60"/>
      <c r="J179" s="62">
        <f>15.28*3.5</f>
        <v>53.48</v>
      </c>
      <c r="K179" s="2"/>
    </row>
    <row r="180" spans="1:11" x14ac:dyDescent="0.25">
      <c r="A180" s="2"/>
      <c r="K180" s="2"/>
    </row>
    <row r="181" spans="1:11" x14ac:dyDescent="0.25">
      <c r="A181" s="2"/>
      <c r="B181" s="10" t="s">
        <v>61</v>
      </c>
      <c r="C181" s="718" t="s">
        <v>62</v>
      </c>
      <c r="D181" s="718"/>
      <c r="E181" s="718"/>
      <c r="F181" s="718"/>
      <c r="G181" s="718"/>
      <c r="H181" s="718"/>
      <c r="I181" s="718"/>
      <c r="J181" s="11"/>
      <c r="K181" s="2"/>
    </row>
    <row r="182" spans="1:11" x14ac:dyDescent="0.25">
      <c r="A182" s="2"/>
      <c r="B182" s="32"/>
      <c r="C182" s="59" t="s">
        <v>2</v>
      </c>
      <c r="D182" s="60" t="s">
        <v>3</v>
      </c>
      <c r="E182" s="60" t="s">
        <v>4</v>
      </c>
      <c r="F182" s="60" t="s">
        <v>5</v>
      </c>
      <c r="G182" s="61"/>
      <c r="H182" s="62"/>
      <c r="I182" s="60" t="s">
        <v>6</v>
      </c>
      <c r="J182" s="62" t="s">
        <v>7</v>
      </c>
      <c r="K182" s="2"/>
    </row>
    <row r="183" spans="1:11" x14ac:dyDescent="0.25">
      <c r="A183" s="2"/>
      <c r="B183" s="77"/>
      <c r="C183" s="63" t="s">
        <v>8</v>
      </c>
      <c r="D183" s="64"/>
      <c r="E183" s="64"/>
      <c r="F183" s="64"/>
      <c r="G183" s="65"/>
      <c r="H183" s="66"/>
      <c r="I183" s="67"/>
      <c r="J183" s="78" t="s">
        <v>0</v>
      </c>
      <c r="K183" s="2"/>
    </row>
    <row r="184" spans="1:11" x14ac:dyDescent="0.25">
      <c r="A184" s="2"/>
      <c r="B184" s="32" t="s">
        <v>0</v>
      </c>
      <c r="C184" s="31" t="s">
        <v>13</v>
      </c>
      <c r="D184" s="68" t="s">
        <v>10</v>
      </c>
      <c r="E184" s="68" t="s">
        <v>20</v>
      </c>
      <c r="F184" s="68" t="s">
        <v>15</v>
      </c>
      <c r="G184" s="14" t="s">
        <v>0</v>
      </c>
      <c r="H184" s="40" t="s">
        <v>0</v>
      </c>
      <c r="I184" s="60">
        <f>I398</f>
        <v>21</v>
      </c>
      <c r="J184" s="60">
        <f>J398</f>
        <v>35.28</v>
      </c>
      <c r="K184" s="2"/>
    </row>
    <row r="185" spans="1:11" x14ac:dyDescent="0.25">
      <c r="A185" s="2"/>
      <c r="B185" s="32" t="s">
        <v>0</v>
      </c>
      <c r="C185" s="31" t="s">
        <v>13</v>
      </c>
      <c r="D185" s="68" t="s">
        <v>10</v>
      </c>
      <c r="E185" s="68" t="s">
        <v>20</v>
      </c>
      <c r="F185" s="68" t="s">
        <v>16</v>
      </c>
      <c r="G185" s="14" t="s">
        <v>0</v>
      </c>
      <c r="H185" s="40" t="s">
        <v>0</v>
      </c>
      <c r="I185" s="60">
        <f>I399</f>
        <v>4</v>
      </c>
      <c r="J185" s="60">
        <f>J399</f>
        <v>7.5600000000000005</v>
      </c>
      <c r="K185" s="2"/>
    </row>
    <row r="186" spans="1:11" x14ac:dyDescent="0.25">
      <c r="A186" s="2"/>
      <c r="B186" s="32" t="s">
        <v>0</v>
      </c>
      <c r="C186" s="31" t="s">
        <v>9</v>
      </c>
      <c r="D186" s="68" t="s">
        <v>10</v>
      </c>
      <c r="E186" s="68" t="s">
        <v>20</v>
      </c>
      <c r="F186" s="68" t="s">
        <v>17</v>
      </c>
      <c r="G186" s="14" t="s">
        <v>0</v>
      </c>
      <c r="H186" s="40" t="s">
        <v>0</v>
      </c>
      <c r="I186" s="60">
        <f>I401</f>
        <v>1</v>
      </c>
      <c r="J186" s="60">
        <f>J401</f>
        <v>2.52</v>
      </c>
      <c r="K186" s="2"/>
    </row>
    <row r="187" spans="1:11" x14ac:dyDescent="0.25">
      <c r="A187" s="2"/>
      <c r="B187" s="32" t="s">
        <v>0</v>
      </c>
      <c r="C187" s="31" t="s">
        <v>9</v>
      </c>
      <c r="D187" s="68" t="s">
        <v>10</v>
      </c>
      <c r="E187" s="68" t="s">
        <v>20</v>
      </c>
      <c r="F187" s="68" t="s">
        <v>18</v>
      </c>
      <c r="G187" s="14" t="s">
        <v>0</v>
      </c>
      <c r="H187" s="40" t="s">
        <v>0</v>
      </c>
      <c r="I187" s="60">
        <f>I400</f>
        <v>5</v>
      </c>
      <c r="J187" s="62">
        <f>J400</f>
        <v>16.8</v>
      </c>
      <c r="K187" s="2"/>
    </row>
    <row r="188" spans="1:11" x14ac:dyDescent="0.25">
      <c r="A188" s="2"/>
      <c r="B188" s="32" t="s">
        <v>0</v>
      </c>
      <c r="C188" s="31" t="s">
        <v>13</v>
      </c>
      <c r="D188" s="68" t="s">
        <v>10</v>
      </c>
      <c r="E188" s="68" t="s">
        <v>22</v>
      </c>
      <c r="F188" s="68" t="s">
        <v>23</v>
      </c>
      <c r="G188" s="14" t="s">
        <v>0</v>
      </c>
      <c r="H188" s="40" t="s">
        <v>0</v>
      </c>
      <c r="I188" s="60">
        <f>I402</f>
        <v>9</v>
      </c>
      <c r="J188" s="62">
        <f>J402</f>
        <v>18.900000000000002</v>
      </c>
      <c r="K188" s="2"/>
    </row>
    <row r="189" spans="1:11" x14ac:dyDescent="0.25">
      <c r="A189" s="2"/>
      <c r="B189" s="79"/>
      <c r="C189" s="31" t="s">
        <v>25</v>
      </c>
      <c r="D189" s="68"/>
      <c r="E189" s="68"/>
      <c r="F189" s="68"/>
      <c r="G189" s="14"/>
      <c r="H189" s="40"/>
      <c r="I189" s="60"/>
      <c r="J189" s="62"/>
      <c r="K189" s="2"/>
    </row>
    <row r="190" spans="1:11" x14ac:dyDescent="0.25">
      <c r="A190" s="2"/>
      <c r="B190" s="79"/>
      <c r="C190" s="31" t="s">
        <v>13</v>
      </c>
      <c r="D190" s="68" t="s">
        <v>26</v>
      </c>
      <c r="E190" s="68" t="s">
        <v>27</v>
      </c>
      <c r="F190" s="68" t="s">
        <v>28</v>
      </c>
      <c r="G190" s="14" t="s">
        <v>0</v>
      </c>
      <c r="H190" s="40"/>
      <c r="I190" s="60">
        <f>I404</f>
        <v>10</v>
      </c>
      <c r="J190" s="62">
        <f>J404</f>
        <v>10.8</v>
      </c>
      <c r="K190" s="2"/>
    </row>
    <row r="191" spans="1:11" x14ac:dyDescent="0.25">
      <c r="A191" s="2"/>
      <c r="B191" s="77"/>
      <c r="C191" s="63" t="s">
        <v>31</v>
      </c>
      <c r="D191" s="64"/>
      <c r="E191" s="64"/>
      <c r="F191" s="64" t="s">
        <v>0</v>
      </c>
      <c r="G191" s="65"/>
      <c r="H191" s="66"/>
      <c r="I191" s="67"/>
      <c r="J191" s="78"/>
      <c r="K191" s="2"/>
    </row>
    <row r="192" spans="1:11" x14ac:dyDescent="0.25">
      <c r="A192" s="2"/>
      <c r="B192" s="32" t="s">
        <v>0</v>
      </c>
      <c r="C192" s="31" t="s">
        <v>32</v>
      </c>
      <c r="D192" s="68" t="s">
        <v>20</v>
      </c>
      <c r="E192" s="68" t="s">
        <v>33</v>
      </c>
      <c r="F192" s="68" t="s">
        <v>34</v>
      </c>
      <c r="G192" s="14" t="s">
        <v>0</v>
      </c>
      <c r="H192" s="40" t="s">
        <v>0</v>
      </c>
      <c r="I192" s="71" t="s">
        <v>0</v>
      </c>
      <c r="J192" s="62">
        <f>SUM(J406:J411)</f>
        <v>200.18879999999999</v>
      </c>
      <c r="K192" s="2"/>
    </row>
    <row r="193" spans="1:11" x14ac:dyDescent="0.25">
      <c r="A193" s="2"/>
      <c r="B193" s="79"/>
      <c r="C193" s="31" t="s">
        <v>35</v>
      </c>
      <c r="D193" s="68" t="s">
        <v>36</v>
      </c>
      <c r="E193" s="68" t="s">
        <v>37</v>
      </c>
      <c r="F193" s="68" t="s">
        <v>34</v>
      </c>
      <c r="G193" s="14"/>
      <c r="H193" s="40"/>
      <c r="I193" s="60">
        <v>4</v>
      </c>
      <c r="J193" s="62">
        <f>I193*0.4</f>
        <v>1.6</v>
      </c>
      <c r="K193" s="2"/>
    </row>
    <row r="194" spans="1:11" x14ac:dyDescent="0.25">
      <c r="A194" s="2"/>
      <c r="B194" s="77"/>
      <c r="C194" s="63" t="s">
        <v>38</v>
      </c>
      <c r="D194" s="64"/>
      <c r="E194" s="64"/>
      <c r="F194" s="64"/>
      <c r="G194" s="65"/>
      <c r="H194" s="66"/>
      <c r="I194" s="67"/>
      <c r="J194" s="78" t="s">
        <v>0</v>
      </c>
      <c r="K194" s="2"/>
    </row>
    <row r="195" spans="1:11" x14ac:dyDescent="0.25">
      <c r="A195" s="2"/>
      <c r="B195" s="79"/>
      <c r="C195" s="31" t="s">
        <v>39</v>
      </c>
      <c r="D195" s="68" t="s">
        <v>36</v>
      </c>
      <c r="E195" s="68" t="s">
        <v>11</v>
      </c>
      <c r="F195" s="68" t="s">
        <v>34</v>
      </c>
      <c r="G195" s="14" t="s">
        <v>0</v>
      </c>
      <c r="H195" s="40" t="s">
        <v>0</v>
      </c>
      <c r="I195" s="60" t="s">
        <v>0</v>
      </c>
      <c r="J195" s="62">
        <f>J413</f>
        <v>1.6500000000000001</v>
      </c>
      <c r="K195" s="2"/>
    </row>
    <row r="196" spans="1:11" x14ac:dyDescent="0.25">
      <c r="A196" s="2"/>
      <c r="B196" s="79"/>
      <c r="C196" s="31" t="s">
        <v>41</v>
      </c>
      <c r="D196" s="68" t="s">
        <v>36</v>
      </c>
      <c r="E196" s="68" t="s">
        <v>11</v>
      </c>
      <c r="F196" s="68" t="s">
        <v>34</v>
      </c>
      <c r="G196" s="14" t="s">
        <v>0</v>
      </c>
      <c r="H196" s="40" t="s">
        <v>0</v>
      </c>
      <c r="I196" s="60">
        <v>12</v>
      </c>
      <c r="J196" s="62">
        <f>I196*0.2*0.2</f>
        <v>0.48000000000000009</v>
      </c>
      <c r="K196" s="2"/>
    </row>
    <row r="197" spans="1:11" x14ac:dyDescent="0.25">
      <c r="A197" s="2"/>
      <c r="B197" s="77"/>
      <c r="C197" s="63" t="s">
        <v>42</v>
      </c>
      <c r="D197" s="64"/>
      <c r="E197" s="64"/>
      <c r="F197" s="64" t="s">
        <v>0</v>
      </c>
      <c r="G197" s="65"/>
      <c r="H197" s="66"/>
      <c r="I197" s="67"/>
      <c r="J197" s="78"/>
      <c r="K197" s="2"/>
    </row>
    <row r="198" spans="1:11" x14ac:dyDescent="0.25">
      <c r="A198" s="2"/>
      <c r="B198" s="79"/>
      <c r="C198" s="31" t="s">
        <v>43</v>
      </c>
      <c r="D198" s="68" t="s">
        <v>36</v>
      </c>
      <c r="E198" s="68" t="s">
        <v>37</v>
      </c>
      <c r="F198" s="68" t="s">
        <v>34</v>
      </c>
      <c r="G198" s="14"/>
      <c r="H198" s="40"/>
      <c r="I198" s="60"/>
      <c r="J198" s="62">
        <f>15.28*3.5</f>
        <v>53.48</v>
      </c>
      <c r="K198" s="2"/>
    </row>
    <row r="199" spans="1:11" x14ac:dyDescent="0.25">
      <c r="A199" s="2"/>
      <c r="K199" s="2"/>
    </row>
    <row r="200" spans="1:11" x14ac:dyDescent="0.25">
      <c r="A200" s="2"/>
      <c r="B200" s="10" t="s">
        <v>63</v>
      </c>
      <c r="C200" s="718" t="s">
        <v>64</v>
      </c>
      <c r="D200" s="718"/>
      <c r="E200" s="718"/>
      <c r="F200" s="718"/>
      <c r="G200" s="718"/>
      <c r="H200" s="718"/>
      <c r="I200" s="718"/>
      <c r="J200" s="11"/>
      <c r="K200" s="2"/>
    </row>
    <row r="201" spans="1:11" x14ac:dyDescent="0.25">
      <c r="A201" s="2"/>
      <c r="B201" s="32"/>
      <c r="C201" s="59" t="s">
        <v>2</v>
      </c>
      <c r="D201" s="60" t="s">
        <v>3</v>
      </c>
      <c r="E201" s="60" t="s">
        <v>4</v>
      </c>
      <c r="F201" s="60" t="s">
        <v>5</v>
      </c>
      <c r="G201" s="61"/>
      <c r="H201" s="62"/>
      <c r="I201" s="60" t="s">
        <v>6</v>
      </c>
      <c r="J201" s="62" t="s">
        <v>7</v>
      </c>
      <c r="K201" s="2"/>
    </row>
    <row r="202" spans="1:11" x14ac:dyDescent="0.25">
      <c r="A202" s="2"/>
      <c r="B202" s="77"/>
      <c r="C202" s="63" t="s">
        <v>8</v>
      </c>
      <c r="D202" s="64"/>
      <c r="E202" s="64"/>
      <c r="F202" s="64"/>
      <c r="G202" s="65"/>
      <c r="H202" s="66"/>
      <c r="I202" s="67"/>
      <c r="J202" s="78" t="s">
        <v>0</v>
      </c>
      <c r="K202" s="2"/>
    </row>
    <row r="203" spans="1:11" x14ac:dyDescent="0.25">
      <c r="A203" s="2"/>
      <c r="B203" s="32" t="s">
        <v>0</v>
      </c>
      <c r="C203" s="31" t="s">
        <v>9</v>
      </c>
      <c r="D203" s="68" t="s">
        <v>10</v>
      </c>
      <c r="E203" s="68" t="s">
        <v>20</v>
      </c>
      <c r="F203" s="68" t="s">
        <v>18</v>
      </c>
      <c r="G203" s="14" t="s">
        <v>0</v>
      </c>
      <c r="H203" s="40" t="s">
        <v>0</v>
      </c>
      <c r="I203" s="60">
        <f>I417</f>
        <v>1</v>
      </c>
      <c r="J203" s="62">
        <f>J417</f>
        <v>3.3600000000000003</v>
      </c>
      <c r="K203" s="2"/>
    </row>
    <row r="204" spans="1:11" x14ac:dyDescent="0.25">
      <c r="A204" s="2"/>
      <c r="B204" s="77"/>
      <c r="C204" s="63" t="s">
        <v>31</v>
      </c>
      <c r="D204" s="64"/>
      <c r="E204" s="64"/>
      <c r="F204" s="64" t="s">
        <v>0</v>
      </c>
      <c r="G204" s="65"/>
      <c r="H204" s="66"/>
      <c r="I204" s="67"/>
      <c r="J204" s="78"/>
      <c r="K204" s="2"/>
    </row>
    <row r="205" spans="1:11" x14ac:dyDescent="0.25">
      <c r="A205" s="2"/>
      <c r="B205" s="32" t="s">
        <v>0</v>
      </c>
      <c r="C205" s="31" t="s">
        <v>32</v>
      </c>
      <c r="D205" s="68" t="s">
        <v>20</v>
      </c>
      <c r="E205" s="68" t="s">
        <v>33</v>
      </c>
      <c r="F205" s="68" t="s">
        <v>34</v>
      </c>
      <c r="G205" s="14" t="s">
        <v>0</v>
      </c>
      <c r="H205" s="40" t="s">
        <v>0</v>
      </c>
      <c r="I205" s="71" t="s">
        <v>0</v>
      </c>
      <c r="J205" s="62">
        <f>J419</f>
        <v>4.8</v>
      </c>
      <c r="K205" s="2"/>
    </row>
    <row r="206" spans="1:11" x14ac:dyDescent="0.25">
      <c r="A206" s="2"/>
      <c r="B206" s="18"/>
      <c r="C206" s="19"/>
      <c r="D206" s="20"/>
      <c r="E206" s="20"/>
      <c r="F206" s="20"/>
      <c r="G206" s="9"/>
      <c r="H206" s="21"/>
      <c r="I206" s="20"/>
      <c r="J206" s="22"/>
      <c r="K206" s="2"/>
    </row>
    <row r="207" spans="1:11" ht="16.5" thickBot="1" x14ac:dyDescent="0.3">
      <c r="A207" s="2"/>
      <c r="B207" s="18"/>
      <c r="C207" s="19"/>
      <c r="D207" s="20"/>
      <c r="E207" s="20"/>
      <c r="F207" s="20"/>
      <c r="G207" s="9"/>
      <c r="H207" s="21"/>
      <c r="I207" s="20"/>
      <c r="J207" s="22"/>
      <c r="K207" s="2"/>
    </row>
    <row r="208" spans="1:11" x14ac:dyDescent="0.25">
      <c r="A208" s="2"/>
      <c r="B208" s="4"/>
      <c r="C208" s="5"/>
      <c r="D208" s="5"/>
      <c r="E208" s="5"/>
      <c r="F208" s="5"/>
      <c r="G208" s="5"/>
      <c r="H208" s="86"/>
      <c r="I208" s="86"/>
      <c r="J208" s="87"/>
      <c r="K208" s="2"/>
    </row>
    <row r="209" spans="1:11" ht="18" x14ac:dyDescent="0.25">
      <c r="A209" s="2"/>
      <c r="B209" s="719" t="s">
        <v>65</v>
      </c>
      <c r="C209" s="720"/>
      <c r="D209" s="720"/>
      <c r="E209" s="720"/>
      <c r="F209" s="720"/>
      <c r="G209" s="720"/>
      <c r="H209" s="720"/>
      <c r="I209" s="720"/>
      <c r="J209" s="721"/>
      <c r="K209" s="2"/>
    </row>
    <row r="210" spans="1:11" ht="16.5" thickBot="1" x14ac:dyDescent="0.3">
      <c r="A210" s="2"/>
      <c r="B210" s="6"/>
      <c r="C210" s="7"/>
      <c r="D210" s="7"/>
      <c r="E210" s="7"/>
      <c r="F210" s="7"/>
      <c r="G210" s="7"/>
      <c r="H210" s="88"/>
      <c r="I210" s="88"/>
      <c r="J210" s="89"/>
      <c r="K210" s="2"/>
    </row>
    <row r="211" spans="1:11" x14ac:dyDescent="0.25">
      <c r="A211" s="2"/>
      <c r="B211" s="18"/>
      <c r="C211" s="19"/>
      <c r="D211" s="20"/>
      <c r="E211" s="20"/>
      <c r="F211" s="20"/>
      <c r="G211" s="9"/>
      <c r="H211" s="21"/>
      <c r="I211" s="20"/>
      <c r="J211" s="22"/>
      <c r="K211" s="2"/>
    </row>
    <row r="212" spans="1:11" x14ac:dyDescent="0.25">
      <c r="A212" s="2"/>
      <c r="B212" s="8" t="s">
        <v>66</v>
      </c>
      <c r="C212" s="8" t="s">
        <v>67</v>
      </c>
      <c r="D212" s="8" t="s">
        <v>68</v>
      </c>
      <c r="E212" s="8" t="s">
        <v>69</v>
      </c>
      <c r="F212" s="8" t="s">
        <v>70</v>
      </c>
      <c r="G212" s="8" t="s">
        <v>71</v>
      </c>
      <c r="H212" s="90" t="s">
        <v>72</v>
      </c>
      <c r="I212" s="90" t="s">
        <v>73</v>
      </c>
      <c r="J212" s="90" t="s">
        <v>74</v>
      </c>
      <c r="K212" s="2"/>
    </row>
    <row r="213" spans="1:11" x14ac:dyDescent="0.25">
      <c r="A213" s="2"/>
      <c r="K213" s="2"/>
    </row>
    <row r="214" spans="1:11" x14ac:dyDescent="0.25">
      <c r="A214" s="2"/>
      <c r="B214" s="10" t="s">
        <v>45</v>
      </c>
      <c r="C214" s="718" t="s">
        <v>46</v>
      </c>
      <c r="D214" s="718"/>
      <c r="E214" s="718"/>
      <c r="F214" s="718"/>
      <c r="G214" s="718"/>
      <c r="H214" s="718"/>
      <c r="I214" s="718"/>
      <c r="J214" s="11"/>
      <c r="K214" s="2"/>
    </row>
    <row r="215" spans="1:11" x14ac:dyDescent="0.25">
      <c r="A215" s="2"/>
      <c r="B215" s="33"/>
      <c r="C215" s="34" t="s">
        <v>8</v>
      </c>
      <c r="D215" s="35"/>
      <c r="E215" s="35"/>
      <c r="F215" s="35"/>
      <c r="G215" s="36"/>
      <c r="H215" s="37"/>
      <c r="I215" s="35"/>
      <c r="J215" s="38" t="s">
        <v>0</v>
      </c>
      <c r="K215" s="2"/>
    </row>
    <row r="216" spans="1:11" x14ac:dyDescent="0.25">
      <c r="A216" s="12"/>
      <c r="B216" s="32" t="s">
        <v>75</v>
      </c>
      <c r="C216" s="31" t="s">
        <v>76</v>
      </c>
      <c r="D216" s="13">
        <v>2</v>
      </c>
      <c r="E216" s="13" t="s">
        <v>0</v>
      </c>
      <c r="F216" s="13">
        <v>2.1</v>
      </c>
      <c r="G216" s="14">
        <f>PRODUCT(D216,E216,F216)</f>
        <v>4.2</v>
      </c>
      <c r="H216" s="40">
        <v>0</v>
      </c>
      <c r="I216" s="13">
        <v>2</v>
      </c>
      <c r="J216" s="15">
        <f t="shared" ref="J216:J222" si="3">IF(G216&gt;0,G216*I216,H216*I216)</f>
        <v>8.4</v>
      </c>
      <c r="K216" s="12"/>
    </row>
    <row r="217" spans="1:11" x14ac:dyDescent="0.25">
      <c r="A217" s="12"/>
      <c r="B217" s="32" t="s">
        <v>77</v>
      </c>
      <c r="C217" s="31" t="s">
        <v>78</v>
      </c>
      <c r="D217" s="13">
        <v>0.8</v>
      </c>
      <c r="E217" s="13" t="s">
        <v>0</v>
      </c>
      <c r="F217" s="13">
        <f t="shared" ref="F217:F222" si="4">$F$216</f>
        <v>2.1</v>
      </c>
      <c r="G217" s="14">
        <f t="shared" ref="G217:G226" si="5">PRODUCT(D217,E217,F217)</f>
        <v>1.6800000000000002</v>
      </c>
      <c r="H217" s="40">
        <v>0</v>
      </c>
      <c r="I217" s="13">
        <v>35</v>
      </c>
      <c r="J217" s="15">
        <f t="shared" si="3"/>
        <v>58.800000000000004</v>
      </c>
      <c r="K217" s="12"/>
    </row>
    <row r="218" spans="1:11" x14ac:dyDescent="0.25">
      <c r="A218" s="12"/>
      <c r="B218" s="32" t="s">
        <v>79</v>
      </c>
      <c r="C218" s="31" t="s">
        <v>80</v>
      </c>
      <c r="D218" s="13">
        <v>0.9</v>
      </c>
      <c r="E218" s="13" t="s">
        <v>0</v>
      </c>
      <c r="F218" s="13">
        <f t="shared" si="4"/>
        <v>2.1</v>
      </c>
      <c r="G218" s="14">
        <f t="shared" si="5"/>
        <v>1.8900000000000001</v>
      </c>
      <c r="H218" s="40">
        <v>0</v>
      </c>
      <c r="I218" s="13">
        <v>6</v>
      </c>
      <c r="J218" s="15">
        <f t="shared" si="3"/>
        <v>11.34</v>
      </c>
      <c r="K218" s="12"/>
    </row>
    <row r="219" spans="1:11" x14ac:dyDescent="0.25">
      <c r="A219" s="12"/>
      <c r="B219" s="32" t="s">
        <v>81</v>
      </c>
      <c r="C219" s="31" t="s">
        <v>82</v>
      </c>
      <c r="D219" s="13">
        <v>1.6</v>
      </c>
      <c r="E219" s="13" t="s">
        <v>0</v>
      </c>
      <c r="F219" s="13">
        <f t="shared" si="4"/>
        <v>2.1</v>
      </c>
      <c r="G219" s="14">
        <f t="shared" si="5"/>
        <v>3.3600000000000003</v>
      </c>
      <c r="H219" s="40">
        <v>0</v>
      </c>
      <c r="I219" s="13">
        <v>13</v>
      </c>
      <c r="J219" s="15">
        <f t="shared" si="3"/>
        <v>43.680000000000007</v>
      </c>
      <c r="K219" s="12"/>
    </row>
    <row r="220" spans="1:11" x14ac:dyDescent="0.25">
      <c r="A220" s="12"/>
      <c r="B220" s="32" t="s">
        <v>83</v>
      </c>
      <c r="C220" s="31" t="s">
        <v>82</v>
      </c>
      <c r="D220" s="13">
        <v>1.6</v>
      </c>
      <c r="E220" s="13" t="s">
        <v>0</v>
      </c>
      <c r="F220" s="13">
        <f t="shared" si="4"/>
        <v>2.1</v>
      </c>
      <c r="G220" s="14">
        <f t="shared" si="5"/>
        <v>3.3600000000000003</v>
      </c>
      <c r="H220" s="40">
        <v>0</v>
      </c>
      <c r="I220" s="13">
        <v>3</v>
      </c>
      <c r="J220" s="15">
        <f t="shared" si="3"/>
        <v>10.080000000000002</v>
      </c>
      <c r="K220" s="12"/>
    </row>
    <row r="221" spans="1:11" x14ac:dyDescent="0.25">
      <c r="A221" s="12"/>
      <c r="B221" s="32" t="s">
        <v>84</v>
      </c>
      <c r="C221" s="31" t="s">
        <v>85</v>
      </c>
      <c r="D221" s="13">
        <v>1</v>
      </c>
      <c r="E221" s="13" t="s">
        <v>0</v>
      </c>
      <c r="F221" s="13">
        <f t="shared" si="4"/>
        <v>2.1</v>
      </c>
      <c r="G221" s="14">
        <f t="shared" si="5"/>
        <v>2.1</v>
      </c>
      <c r="H221" s="40">
        <v>0</v>
      </c>
      <c r="I221" s="13">
        <v>8</v>
      </c>
      <c r="J221" s="15">
        <f t="shared" si="3"/>
        <v>16.8</v>
      </c>
      <c r="K221" s="12"/>
    </row>
    <row r="222" spans="1:11" x14ac:dyDescent="0.25">
      <c r="A222" s="12"/>
      <c r="B222" s="32" t="s">
        <v>86</v>
      </c>
      <c r="C222" s="31" t="s">
        <v>87</v>
      </c>
      <c r="D222" s="13">
        <v>1</v>
      </c>
      <c r="E222" s="13" t="s">
        <v>0</v>
      </c>
      <c r="F222" s="13">
        <f t="shared" si="4"/>
        <v>2.1</v>
      </c>
      <c r="G222" s="14">
        <f t="shared" si="5"/>
        <v>2.1</v>
      </c>
      <c r="H222" s="40">
        <v>0</v>
      </c>
      <c r="I222" s="13">
        <v>3</v>
      </c>
      <c r="J222" s="15">
        <f t="shared" si="3"/>
        <v>6.3000000000000007</v>
      </c>
      <c r="K222" s="12"/>
    </row>
    <row r="223" spans="1:11" x14ac:dyDescent="0.25">
      <c r="A223" s="12"/>
      <c r="B223" s="33"/>
      <c r="C223" s="34" t="s">
        <v>25</v>
      </c>
      <c r="D223" s="35"/>
      <c r="E223" s="35"/>
      <c r="F223" s="35"/>
      <c r="G223" s="36"/>
      <c r="H223" s="37"/>
      <c r="I223" s="35"/>
      <c r="J223" s="38"/>
      <c r="K223" s="12"/>
    </row>
    <row r="224" spans="1:11" x14ac:dyDescent="0.25">
      <c r="A224" s="12"/>
      <c r="B224" s="126" t="s">
        <v>88</v>
      </c>
      <c r="C224" s="31" t="s">
        <v>89</v>
      </c>
      <c r="D224" s="13">
        <v>0.6</v>
      </c>
      <c r="E224" s="13" t="s">
        <v>0</v>
      </c>
      <c r="F224" s="13">
        <v>1.8</v>
      </c>
      <c r="G224" s="14">
        <f t="shared" si="5"/>
        <v>1.08</v>
      </c>
      <c r="H224" s="40">
        <v>0</v>
      </c>
      <c r="I224" s="13">
        <v>22</v>
      </c>
      <c r="J224" s="15">
        <f>IF(G224&gt;0,G224*I224,H224*I224)</f>
        <v>23.76</v>
      </c>
      <c r="K224" s="12"/>
    </row>
    <row r="225" spans="1:11" x14ac:dyDescent="0.25">
      <c r="A225" s="12"/>
      <c r="B225" s="126" t="s">
        <v>90</v>
      </c>
      <c r="C225" s="31" t="s">
        <v>78</v>
      </c>
      <c r="D225" s="13">
        <v>0.6</v>
      </c>
      <c r="E225" s="13" t="s">
        <v>0</v>
      </c>
      <c r="F225" s="13">
        <f>$F$224</f>
        <v>1.8</v>
      </c>
      <c r="G225" s="14">
        <f t="shared" si="5"/>
        <v>1.08</v>
      </c>
      <c r="H225" s="40">
        <v>0</v>
      </c>
      <c r="I225" s="13">
        <v>4</v>
      </c>
      <c r="J225" s="15">
        <f>IF(G225&gt;0,G225*I225,H225*I225)</f>
        <v>4.32</v>
      </c>
      <c r="K225" s="12"/>
    </row>
    <row r="226" spans="1:11" x14ac:dyDescent="0.25">
      <c r="A226" s="12"/>
      <c r="B226" s="126" t="s">
        <v>91</v>
      </c>
      <c r="C226" s="31" t="s">
        <v>80</v>
      </c>
      <c r="D226" s="13">
        <v>0.9</v>
      </c>
      <c r="E226" s="13" t="s">
        <v>0</v>
      </c>
      <c r="F226" s="13">
        <f>$F$224</f>
        <v>1.8</v>
      </c>
      <c r="G226" s="14">
        <f t="shared" si="5"/>
        <v>1.62</v>
      </c>
      <c r="H226" s="40">
        <v>0</v>
      </c>
      <c r="I226" s="13">
        <v>2</v>
      </c>
      <c r="J226" s="15">
        <f>IF(G226&gt;0,G226*I226,H226*I226)</f>
        <v>3.24</v>
      </c>
      <c r="K226" s="12"/>
    </row>
    <row r="227" spans="1:11" x14ac:dyDescent="0.25">
      <c r="A227" s="12"/>
      <c r="B227" s="33"/>
      <c r="C227" s="34" t="s">
        <v>31</v>
      </c>
      <c r="D227" s="35"/>
      <c r="E227" s="35"/>
      <c r="F227" s="35" t="s">
        <v>0</v>
      </c>
      <c r="G227" s="36"/>
      <c r="H227" s="37"/>
      <c r="I227" s="91"/>
      <c r="J227" s="38" t="s">
        <v>0</v>
      </c>
      <c r="K227" s="12"/>
    </row>
    <row r="228" spans="1:11" x14ac:dyDescent="0.25">
      <c r="A228" s="12"/>
      <c r="B228" s="32" t="s">
        <v>92</v>
      </c>
      <c r="C228" s="31" t="s">
        <v>93</v>
      </c>
      <c r="D228" s="13">
        <v>2.1</v>
      </c>
      <c r="E228" s="13" t="s">
        <v>0</v>
      </c>
      <c r="F228" s="13">
        <v>1</v>
      </c>
      <c r="G228" s="14">
        <f t="shared" ref="G228:G255" si="6">PRODUCT(D228,E228,F228)</f>
        <v>2.1</v>
      </c>
      <c r="H228" s="40">
        <v>0</v>
      </c>
      <c r="I228" s="13">
        <v>2</v>
      </c>
      <c r="J228" s="15">
        <f t="shared" ref="J228:J254" si="7">IF(G228&gt;0,G228*I228,H228*I228)</f>
        <v>4.2</v>
      </c>
      <c r="K228" s="12"/>
    </row>
    <row r="229" spans="1:11" x14ac:dyDescent="0.25">
      <c r="A229" s="12"/>
      <c r="B229" s="32" t="s">
        <v>94</v>
      </c>
      <c r="C229" s="31" t="s">
        <v>93</v>
      </c>
      <c r="D229" s="13">
        <v>4</v>
      </c>
      <c r="E229" s="13" t="s">
        <v>0</v>
      </c>
      <c r="F229" s="13">
        <v>0.6</v>
      </c>
      <c r="G229" s="14">
        <f t="shared" si="6"/>
        <v>2.4</v>
      </c>
      <c r="H229" s="40">
        <v>0</v>
      </c>
      <c r="I229" s="13">
        <v>2</v>
      </c>
      <c r="J229" s="15">
        <f t="shared" si="7"/>
        <v>4.8</v>
      </c>
      <c r="K229" s="12"/>
    </row>
    <row r="230" spans="1:11" x14ac:dyDescent="0.25">
      <c r="A230" s="12"/>
      <c r="B230" s="32" t="s">
        <v>95</v>
      </c>
      <c r="C230" s="31" t="s">
        <v>93</v>
      </c>
      <c r="D230" s="13">
        <v>4.7</v>
      </c>
      <c r="E230" s="13" t="s">
        <v>0</v>
      </c>
      <c r="F230" s="13">
        <v>1</v>
      </c>
      <c r="G230" s="14">
        <f t="shared" si="6"/>
        <v>4.7</v>
      </c>
      <c r="H230" s="40">
        <v>0</v>
      </c>
      <c r="I230" s="13">
        <v>1</v>
      </c>
      <c r="J230" s="15">
        <f t="shared" si="7"/>
        <v>4.7</v>
      </c>
      <c r="K230" s="12"/>
    </row>
    <row r="231" spans="1:11" x14ac:dyDescent="0.25">
      <c r="A231" s="12"/>
      <c r="B231" s="32" t="s">
        <v>96</v>
      </c>
      <c r="C231" s="31" t="s">
        <v>93</v>
      </c>
      <c r="D231" s="13">
        <v>3.95</v>
      </c>
      <c r="E231" s="13" t="s">
        <v>0</v>
      </c>
      <c r="F231" s="13">
        <v>1</v>
      </c>
      <c r="G231" s="14">
        <f t="shared" si="6"/>
        <v>3.95</v>
      </c>
      <c r="H231" s="40">
        <v>0</v>
      </c>
      <c r="I231" s="13">
        <v>1</v>
      </c>
      <c r="J231" s="15">
        <f t="shared" si="7"/>
        <v>3.95</v>
      </c>
      <c r="K231" s="12"/>
    </row>
    <row r="232" spans="1:11" x14ac:dyDescent="0.25">
      <c r="A232" s="12"/>
      <c r="B232" s="32" t="s">
        <v>97</v>
      </c>
      <c r="C232" s="31" t="s">
        <v>93</v>
      </c>
      <c r="D232" s="13">
        <v>2.5</v>
      </c>
      <c r="E232" s="13" t="s">
        <v>0</v>
      </c>
      <c r="F232" s="13">
        <v>1</v>
      </c>
      <c r="G232" s="14">
        <f t="shared" si="6"/>
        <v>2.5</v>
      </c>
      <c r="H232" s="40">
        <v>0</v>
      </c>
      <c r="I232" s="13">
        <v>1</v>
      </c>
      <c r="J232" s="15">
        <f t="shared" si="7"/>
        <v>2.5</v>
      </c>
      <c r="K232" s="12"/>
    </row>
    <row r="233" spans="1:11" x14ac:dyDescent="0.25">
      <c r="A233" s="12"/>
      <c r="B233" s="32" t="s">
        <v>98</v>
      </c>
      <c r="C233" s="31" t="s">
        <v>93</v>
      </c>
      <c r="D233" s="13">
        <v>3.95</v>
      </c>
      <c r="E233" s="13" t="s">
        <v>0</v>
      </c>
      <c r="F233" s="13">
        <v>1</v>
      </c>
      <c r="G233" s="14">
        <f t="shared" si="6"/>
        <v>3.95</v>
      </c>
      <c r="H233" s="40">
        <v>0</v>
      </c>
      <c r="I233" s="13">
        <v>1</v>
      </c>
      <c r="J233" s="15">
        <f t="shared" si="7"/>
        <v>3.95</v>
      </c>
      <c r="K233" s="12"/>
    </row>
    <row r="234" spans="1:11" x14ac:dyDescent="0.25">
      <c r="A234" s="12"/>
      <c r="B234" s="32" t="s">
        <v>99</v>
      </c>
      <c r="C234" s="31" t="s">
        <v>93</v>
      </c>
      <c r="D234" s="13">
        <v>2.8</v>
      </c>
      <c r="E234" s="13" t="s">
        <v>0</v>
      </c>
      <c r="F234" s="13">
        <v>1</v>
      </c>
      <c r="G234" s="14">
        <f t="shared" si="6"/>
        <v>2.8</v>
      </c>
      <c r="H234" s="40">
        <v>0</v>
      </c>
      <c r="I234" s="13">
        <v>1</v>
      </c>
      <c r="J234" s="15">
        <f t="shared" si="7"/>
        <v>2.8</v>
      </c>
      <c r="K234" s="12"/>
    </row>
    <row r="235" spans="1:11" x14ac:dyDescent="0.25">
      <c r="A235" s="12"/>
      <c r="B235" s="32" t="s">
        <v>100</v>
      </c>
      <c r="C235" s="31" t="s">
        <v>93</v>
      </c>
      <c r="D235" s="13">
        <v>4</v>
      </c>
      <c r="E235" s="13" t="s">
        <v>0</v>
      </c>
      <c r="F235" s="13">
        <v>1</v>
      </c>
      <c r="G235" s="14">
        <f t="shared" si="6"/>
        <v>4</v>
      </c>
      <c r="H235" s="40">
        <v>0</v>
      </c>
      <c r="I235" s="13">
        <v>1</v>
      </c>
      <c r="J235" s="15">
        <f t="shared" si="7"/>
        <v>4</v>
      </c>
      <c r="K235" s="12"/>
    </row>
    <row r="236" spans="1:11" x14ac:dyDescent="0.25">
      <c r="A236" s="12"/>
      <c r="B236" s="32" t="s">
        <v>101</v>
      </c>
      <c r="C236" s="31" t="s">
        <v>93</v>
      </c>
      <c r="D236" s="13">
        <v>3.7</v>
      </c>
      <c r="E236" s="13" t="s">
        <v>0</v>
      </c>
      <c r="F236" s="13">
        <v>1</v>
      </c>
      <c r="G236" s="14">
        <f t="shared" si="6"/>
        <v>3.7</v>
      </c>
      <c r="H236" s="40">
        <v>0</v>
      </c>
      <c r="I236" s="13">
        <v>2</v>
      </c>
      <c r="J236" s="15">
        <f t="shared" si="7"/>
        <v>7.4</v>
      </c>
      <c r="K236" s="12"/>
    </row>
    <row r="237" spans="1:11" x14ac:dyDescent="0.25">
      <c r="A237" s="12"/>
      <c r="B237" s="32" t="s">
        <v>102</v>
      </c>
      <c r="C237" s="31" t="s">
        <v>93</v>
      </c>
      <c r="D237" s="13">
        <v>7</v>
      </c>
      <c r="E237" s="13" t="s">
        <v>0</v>
      </c>
      <c r="F237" s="13">
        <v>1</v>
      </c>
      <c r="G237" s="14">
        <f t="shared" si="6"/>
        <v>7</v>
      </c>
      <c r="H237" s="40">
        <v>0</v>
      </c>
      <c r="I237" s="13">
        <v>1</v>
      </c>
      <c r="J237" s="15">
        <f t="shared" si="7"/>
        <v>7</v>
      </c>
      <c r="K237" s="12"/>
    </row>
    <row r="238" spans="1:11" x14ac:dyDescent="0.25">
      <c r="A238" s="12"/>
      <c r="B238" s="32" t="s">
        <v>103</v>
      </c>
      <c r="C238" s="31" t="s">
        <v>93</v>
      </c>
      <c r="D238" s="13">
        <v>3</v>
      </c>
      <c r="E238" s="13" t="s">
        <v>0</v>
      </c>
      <c r="F238" s="13">
        <v>1</v>
      </c>
      <c r="G238" s="14">
        <f t="shared" si="6"/>
        <v>3</v>
      </c>
      <c r="H238" s="40">
        <v>0</v>
      </c>
      <c r="I238" s="13">
        <v>1</v>
      </c>
      <c r="J238" s="15">
        <f t="shared" si="7"/>
        <v>3</v>
      </c>
      <c r="K238" s="12"/>
    </row>
    <row r="239" spans="1:11" x14ac:dyDescent="0.25">
      <c r="A239" s="12"/>
      <c r="B239" s="32" t="s">
        <v>104</v>
      </c>
      <c r="C239" s="31" t="s">
        <v>93</v>
      </c>
      <c r="D239" s="13">
        <v>3.65</v>
      </c>
      <c r="E239" s="13" t="s">
        <v>0</v>
      </c>
      <c r="F239" s="13">
        <v>1</v>
      </c>
      <c r="G239" s="14">
        <f t="shared" si="6"/>
        <v>3.65</v>
      </c>
      <c r="H239" s="40">
        <v>0</v>
      </c>
      <c r="I239" s="13">
        <v>1</v>
      </c>
      <c r="J239" s="15">
        <f t="shared" si="7"/>
        <v>3.65</v>
      </c>
      <c r="K239" s="12"/>
    </row>
    <row r="240" spans="1:11" x14ac:dyDescent="0.25">
      <c r="A240" s="12"/>
      <c r="B240" s="32" t="s">
        <v>105</v>
      </c>
      <c r="C240" s="31" t="s">
        <v>93</v>
      </c>
      <c r="D240" s="13">
        <v>2.5</v>
      </c>
      <c r="E240" s="13" t="s">
        <v>0</v>
      </c>
      <c r="F240" s="13">
        <v>1</v>
      </c>
      <c r="G240" s="14">
        <f t="shared" si="6"/>
        <v>2.5</v>
      </c>
      <c r="H240" s="40">
        <v>0</v>
      </c>
      <c r="I240" s="13">
        <v>1</v>
      </c>
      <c r="J240" s="15">
        <f t="shared" si="7"/>
        <v>2.5</v>
      </c>
      <c r="K240" s="12"/>
    </row>
    <row r="241" spans="1:11" x14ac:dyDescent="0.25">
      <c r="A241" s="12"/>
      <c r="B241" s="32" t="s">
        <v>106</v>
      </c>
      <c r="C241" s="31" t="s">
        <v>93</v>
      </c>
      <c r="D241" s="13">
        <v>4</v>
      </c>
      <c r="E241" s="13" t="s">
        <v>0</v>
      </c>
      <c r="F241" s="13">
        <v>1</v>
      </c>
      <c r="G241" s="14">
        <f t="shared" si="6"/>
        <v>4</v>
      </c>
      <c r="H241" s="40">
        <v>0</v>
      </c>
      <c r="I241" s="13">
        <v>1</v>
      </c>
      <c r="J241" s="15">
        <f t="shared" si="7"/>
        <v>4</v>
      </c>
      <c r="K241" s="12"/>
    </row>
    <row r="242" spans="1:11" x14ac:dyDescent="0.25">
      <c r="A242" s="12"/>
      <c r="B242" s="32" t="s">
        <v>107</v>
      </c>
      <c r="C242" s="31" t="s">
        <v>93</v>
      </c>
      <c r="D242" s="13">
        <v>5.45</v>
      </c>
      <c r="E242" s="13" t="s">
        <v>0</v>
      </c>
      <c r="F242" s="13">
        <v>1</v>
      </c>
      <c r="G242" s="14">
        <f t="shared" si="6"/>
        <v>5.45</v>
      </c>
      <c r="H242" s="40">
        <v>0</v>
      </c>
      <c r="I242" s="13">
        <v>1</v>
      </c>
      <c r="J242" s="15">
        <f t="shared" si="7"/>
        <v>5.45</v>
      </c>
      <c r="K242" s="12"/>
    </row>
    <row r="243" spans="1:11" x14ac:dyDescent="0.25">
      <c r="A243" s="12"/>
      <c r="B243" s="32" t="s">
        <v>108</v>
      </c>
      <c r="C243" s="31" t="s">
        <v>93</v>
      </c>
      <c r="D243" s="13">
        <v>5.3</v>
      </c>
      <c r="E243" s="13" t="s">
        <v>0</v>
      </c>
      <c r="F243" s="13">
        <v>1</v>
      </c>
      <c r="G243" s="14">
        <f t="shared" si="6"/>
        <v>5.3</v>
      </c>
      <c r="H243" s="40">
        <v>0</v>
      </c>
      <c r="I243" s="13">
        <v>1</v>
      </c>
      <c r="J243" s="15">
        <f t="shared" si="7"/>
        <v>5.3</v>
      </c>
      <c r="K243" s="12"/>
    </row>
    <row r="244" spans="1:11" x14ac:dyDescent="0.25">
      <c r="A244" s="12"/>
      <c r="B244" s="32" t="s">
        <v>109</v>
      </c>
      <c r="C244" s="31" t="s">
        <v>93</v>
      </c>
      <c r="D244" s="13">
        <v>13</v>
      </c>
      <c r="E244" s="13" t="s">
        <v>0</v>
      </c>
      <c r="F244" s="13">
        <v>1</v>
      </c>
      <c r="G244" s="14">
        <f t="shared" si="6"/>
        <v>13</v>
      </c>
      <c r="H244" s="40">
        <v>0</v>
      </c>
      <c r="I244" s="13">
        <v>1</v>
      </c>
      <c r="J244" s="15">
        <f t="shared" si="7"/>
        <v>13</v>
      </c>
      <c r="K244" s="12"/>
    </row>
    <row r="245" spans="1:11" x14ac:dyDescent="0.25">
      <c r="A245" s="12"/>
      <c r="B245" s="32" t="s">
        <v>110</v>
      </c>
      <c r="C245" s="31" t="s">
        <v>93</v>
      </c>
      <c r="D245" s="13">
        <v>5</v>
      </c>
      <c r="E245" s="13" t="s">
        <v>0</v>
      </c>
      <c r="F245" s="13">
        <v>1</v>
      </c>
      <c r="G245" s="14">
        <f t="shared" si="6"/>
        <v>5</v>
      </c>
      <c r="H245" s="40">
        <v>0</v>
      </c>
      <c r="I245" s="13">
        <v>2</v>
      </c>
      <c r="J245" s="15">
        <f t="shared" si="7"/>
        <v>10</v>
      </c>
      <c r="K245" s="12"/>
    </row>
    <row r="246" spans="1:11" x14ac:dyDescent="0.25">
      <c r="A246" s="12"/>
      <c r="B246" s="32" t="s">
        <v>111</v>
      </c>
      <c r="C246" s="31" t="s">
        <v>93</v>
      </c>
      <c r="D246" s="13">
        <v>4.25</v>
      </c>
      <c r="E246" s="13" t="s">
        <v>0</v>
      </c>
      <c r="F246" s="13">
        <v>1</v>
      </c>
      <c r="G246" s="14">
        <f t="shared" si="6"/>
        <v>4.25</v>
      </c>
      <c r="H246" s="40">
        <v>0</v>
      </c>
      <c r="I246" s="13">
        <v>1</v>
      </c>
      <c r="J246" s="15">
        <f t="shared" si="7"/>
        <v>4.25</v>
      </c>
      <c r="K246" s="12"/>
    </row>
    <row r="247" spans="1:11" x14ac:dyDescent="0.25">
      <c r="A247" s="12"/>
      <c r="B247" s="32" t="s">
        <v>112</v>
      </c>
      <c r="C247" s="31" t="s">
        <v>93</v>
      </c>
      <c r="D247" s="13">
        <v>6.5</v>
      </c>
      <c r="E247" s="13" t="s">
        <v>0</v>
      </c>
      <c r="F247" s="13">
        <v>1</v>
      </c>
      <c r="G247" s="14">
        <f t="shared" si="6"/>
        <v>6.5</v>
      </c>
      <c r="H247" s="40">
        <v>0</v>
      </c>
      <c r="I247" s="13">
        <v>1</v>
      </c>
      <c r="J247" s="15">
        <f t="shared" si="7"/>
        <v>6.5</v>
      </c>
      <c r="K247" s="12"/>
    </row>
    <row r="248" spans="1:11" x14ac:dyDescent="0.25">
      <c r="A248" s="12"/>
      <c r="B248" s="32" t="s">
        <v>113</v>
      </c>
      <c r="C248" s="31" t="s">
        <v>93</v>
      </c>
      <c r="D248" s="13">
        <v>2.4</v>
      </c>
      <c r="E248" s="13" t="s">
        <v>0</v>
      </c>
      <c r="F248" s="13">
        <v>1</v>
      </c>
      <c r="G248" s="14">
        <f t="shared" si="6"/>
        <v>2.4</v>
      </c>
      <c r="H248" s="40">
        <v>0</v>
      </c>
      <c r="I248" s="13">
        <v>1</v>
      </c>
      <c r="J248" s="15">
        <f t="shared" si="7"/>
        <v>2.4</v>
      </c>
      <c r="K248" s="12"/>
    </row>
    <row r="249" spans="1:11" x14ac:dyDescent="0.25">
      <c r="A249" s="12"/>
      <c r="B249" s="32" t="s">
        <v>114</v>
      </c>
      <c r="C249" s="31" t="s">
        <v>93</v>
      </c>
      <c r="D249" s="13">
        <v>7.35</v>
      </c>
      <c r="E249" s="13" t="s">
        <v>0</v>
      </c>
      <c r="F249" s="13">
        <v>1</v>
      </c>
      <c r="G249" s="14">
        <f t="shared" si="6"/>
        <v>7.35</v>
      </c>
      <c r="H249" s="40">
        <v>0</v>
      </c>
      <c r="I249" s="13">
        <v>1</v>
      </c>
      <c r="J249" s="15">
        <f t="shared" si="7"/>
        <v>7.35</v>
      </c>
      <c r="K249" s="12"/>
    </row>
    <row r="250" spans="1:11" x14ac:dyDescent="0.25">
      <c r="A250" s="12"/>
      <c r="B250" s="32" t="s">
        <v>115</v>
      </c>
      <c r="C250" s="31" t="s">
        <v>93</v>
      </c>
      <c r="D250" s="13">
        <v>0.8</v>
      </c>
      <c r="E250" s="13" t="s">
        <v>0</v>
      </c>
      <c r="F250" s="13">
        <v>1</v>
      </c>
      <c r="G250" s="14">
        <f t="shared" si="6"/>
        <v>0.8</v>
      </c>
      <c r="H250" s="40">
        <v>0</v>
      </c>
      <c r="I250" s="13">
        <v>2</v>
      </c>
      <c r="J250" s="15">
        <f t="shared" si="7"/>
        <v>1.6</v>
      </c>
      <c r="K250" s="12"/>
    </row>
    <row r="251" spans="1:11" x14ac:dyDescent="0.25">
      <c r="A251" s="12"/>
      <c r="B251" s="32" t="s">
        <v>116</v>
      </c>
      <c r="C251" s="31" t="s">
        <v>93</v>
      </c>
      <c r="D251" s="13">
        <v>3.4</v>
      </c>
      <c r="E251" s="13" t="s">
        <v>0</v>
      </c>
      <c r="F251" s="13">
        <v>1</v>
      </c>
      <c r="G251" s="14">
        <f t="shared" si="6"/>
        <v>3.4</v>
      </c>
      <c r="H251" s="40">
        <v>0</v>
      </c>
      <c r="I251" s="13">
        <v>1</v>
      </c>
      <c r="J251" s="15">
        <f t="shared" si="7"/>
        <v>3.4</v>
      </c>
      <c r="K251" s="12"/>
    </row>
    <row r="252" spans="1:11" x14ac:dyDescent="0.25">
      <c r="A252" s="12"/>
      <c r="B252" s="32" t="s">
        <v>117</v>
      </c>
      <c r="C252" s="31" t="s">
        <v>93</v>
      </c>
      <c r="D252" s="13">
        <v>5.5</v>
      </c>
      <c r="E252" s="13" t="s">
        <v>0</v>
      </c>
      <c r="F252" s="13">
        <v>1</v>
      </c>
      <c r="G252" s="14">
        <f t="shared" si="6"/>
        <v>5.5</v>
      </c>
      <c r="H252" s="40">
        <v>0</v>
      </c>
      <c r="I252" s="13">
        <v>1</v>
      </c>
      <c r="J252" s="15">
        <f t="shared" si="7"/>
        <v>5.5</v>
      </c>
      <c r="K252" s="12"/>
    </row>
    <row r="253" spans="1:11" x14ac:dyDescent="0.25">
      <c r="A253" s="12"/>
      <c r="B253" s="32" t="s">
        <v>118</v>
      </c>
      <c r="C253" s="31" t="s">
        <v>93</v>
      </c>
      <c r="D253" s="13">
        <v>3</v>
      </c>
      <c r="E253" s="13" t="s">
        <v>0</v>
      </c>
      <c r="F253" s="13">
        <v>1</v>
      </c>
      <c r="G253" s="14">
        <f t="shared" si="6"/>
        <v>3</v>
      </c>
      <c r="H253" s="40">
        <v>0</v>
      </c>
      <c r="I253" s="13">
        <v>4</v>
      </c>
      <c r="J253" s="15">
        <f t="shared" si="7"/>
        <v>12</v>
      </c>
      <c r="K253" s="12"/>
    </row>
    <row r="254" spans="1:11" x14ac:dyDescent="0.25">
      <c r="A254" s="12"/>
      <c r="B254" s="32" t="s">
        <v>119</v>
      </c>
      <c r="C254" s="31" t="s">
        <v>93</v>
      </c>
      <c r="D254" s="13">
        <v>6.55</v>
      </c>
      <c r="E254" s="13" t="s">
        <v>0</v>
      </c>
      <c r="F254" s="13">
        <v>1</v>
      </c>
      <c r="G254" s="14">
        <f t="shared" si="6"/>
        <v>6.55</v>
      </c>
      <c r="H254" s="40">
        <v>0</v>
      </c>
      <c r="I254" s="13">
        <v>1</v>
      </c>
      <c r="J254" s="15">
        <f t="shared" si="7"/>
        <v>6.55</v>
      </c>
      <c r="K254" s="12"/>
    </row>
    <row r="255" spans="1:11" x14ac:dyDescent="0.25">
      <c r="A255" s="12"/>
      <c r="B255" s="32" t="s">
        <v>120</v>
      </c>
      <c r="C255" s="31" t="s">
        <v>93</v>
      </c>
      <c r="D255" s="13">
        <v>2.8</v>
      </c>
      <c r="E255" s="13" t="s">
        <v>0</v>
      </c>
      <c r="F255" s="13">
        <v>1</v>
      </c>
      <c r="G255" s="14">
        <f t="shared" si="6"/>
        <v>2.8</v>
      </c>
      <c r="H255" s="40">
        <v>0</v>
      </c>
      <c r="I255" s="13">
        <v>1</v>
      </c>
      <c r="J255" s="15">
        <f>IF(G255&gt;0,G255*I255,H255*I255)</f>
        <v>2.8</v>
      </c>
      <c r="K255" s="12"/>
    </row>
    <row r="256" spans="1:11" x14ac:dyDescent="0.25">
      <c r="A256" s="12"/>
      <c r="B256" s="33"/>
      <c r="C256" s="34" t="s">
        <v>38</v>
      </c>
      <c r="D256" s="35"/>
      <c r="E256" s="35"/>
      <c r="F256" s="35"/>
      <c r="G256" s="36"/>
      <c r="H256" s="37"/>
      <c r="I256" s="35"/>
      <c r="J256" s="38" t="s">
        <v>0</v>
      </c>
      <c r="K256" s="12"/>
    </row>
    <row r="257" spans="1:11" x14ac:dyDescent="0.25">
      <c r="A257" s="12"/>
      <c r="B257" s="32" t="s">
        <v>121</v>
      </c>
      <c r="C257" s="31" t="s">
        <v>122</v>
      </c>
      <c r="D257" s="13">
        <v>2</v>
      </c>
      <c r="E257" s="13" t="s">
        <v>0</v>
      </c>
      <c r="F257" s="13">
        <v>1.1000000000000001</v>
      </c>
      <c r="G257" s="14">
        <f>PRODUCT(D257,E257,F257)</f>
        <v>2.2000000000000002</v>
      </c>
      <c r="H257" s="40">
        <v>0</v>
      </c>
      <c r="I257" s="13">
        <v>2</v>
      </c>
      <c r="J257" s="15">
        <f>IF(G257&gt;0,G257*I257,H257*I257)</f>
        <v>4.4000000000000004</v>
      </c>
      <c r="K257" s="12"/>
    </row>
    <row r="258" spans="1:11" x14ac:dyDescent="0.25">
      <c r="A258" s="12"/>
      <c r="B258" s="32" t="s">
        <v>121</v>
      </c>
      <c r="C258" s="31" t="s">
        <v>123</v>
      </c>
      <c r="D258" s="13">
        <v>2</v>
      </c>
      <c r="E258" s="13" t="s">
        <v>0</v>
      </c>
      <c r="F258" s="13">
        <v>1.1000000000000001</v>
      </c>
      <c r="G258" s="14">
        <f t="shared" ref="G258:G266" si="8">PRODUCT(D258,E258,F258)</f>
        <v>2.2000000000000002</v>
      </c>
      <c r="H258" s="40">
        <v>0</v>
      </c>
      <c r="I258" s="13">
        <v>1</v>
      </c>
      <c r="J258" s="15">
        <f t="shared" ref="J258:J266" si="9">IF(G258&gt;0,G258*I258,H258*I258)</f>
        <v>2.2000000000000002</v>
      </c>
      <c r="K258" s="12"/>
    </row>
    <row r="259" spans="1:11" x14ac:dyDescent="0.25">
      <c r="A259" s="12"/>
      <c r="B259" s="32" t="s">
        <v>121</v>
      </c>
      <c r="C259" s="31" t="s">
        <v>124</v>
      </c>
      <c r="D259" s="13">
        <v>2</v>
      </c>
      <c r="E259" s="13" t="s">
        <v>0</v>
      </c>
      <c r="F259" s="13">
        <v>1.1000000000000001</v>
      </c>
      <c r="G259" s="14">
        <f t="shared" si="8"/>
        <v>2.2000000000000002</v>
      </c>
      <c r="H259" s="40">
        <v>0</v>
      </c>
      <c r="I259" s="13">
        <v>1</v>
      </c>
      <c r="J259" s="15">
        <f t="shared" si="9"/>
        <v>2.2000000000000002</v>
      </c>
      <c r="K259" s="12"/>
    </row>
    <row r="260" spans="1:11" x14ac:dyDescent="0.25">
      <c r="A260" s="12"/>
      <c r="B260" s="32" t="s">
        <v>125</v>
      </c>
      <c r="C260" s="31" t="s">
        <v>126</v>
      </c>
      <c r="D260" s="13">
        <v>1.52</v>
      </c>
      <c r="E260" s="13" t="s">
        <v>0</v>
      </c>
      <c r="F260" s="13">
        <v>1.1000000000000001</v>
      </c>
      <c r="G260" s="14">
        <f t="shared" si="8"/>
        <v>1.6720000000000002</v>
      </c>
      <c r="H260" s="40">
        <v>0</v>
      </c>
      <c r="I260" s="13">
        <v>1</v>
      </c>
      <c r="J260" s="15">
        <f t="shared" si="9"/>
        <v>1.6720000000000002</v>
      </c>
      <c r="K260" s="12"/>
    </row>
    <row r="261" spans="1:11" x14ac:dyDescent="0.25">
      <c r="A261" s="12"/>
      <c r="B261" s="32" t="s">
        <v>127</v>
      </c>
      <c r="C261" s="31" t="s">
        <v>128</v>
      </c>
      <c r="D261" s="13">
        <v>1.2</v>
      </c>
      <c r="E261" s="13" t="s">
        <v>0</v>
      </c>
      <c r="F261" s="13">
        <v>1.1000000000000001</v>
      </c>
      <c r="G261" s="14">
        <f t="shared" si="8"/>
        <v>1.32</v>
      </c>
      <c r="H261" s="40">
        <v>0</v>
      </c>
      <c r="I261" s="13">
        <v>1</v>
      </c>
      <c r="J261" s="15">
        <f t="shared" si="9"/>
        <v>1.32</v>
      </c>
      <c r="K261" s="12"/>
    </row>
    <row r="262" spans="1:11" x14ac:dyDescent="0.25">
      <c r="A262" s="12"/>
      <c r="B262" s="32" t="s">
        <v>129</v>
      </c>
      <c r="C262" s="31" t="s">
        <v>130</v>
      </c>
      <c r="D262" s="13">
        <v>2.4</v>
      </c>
      <c r="E262" s="13" t="s">
        <v>0</v>
      </c>
      <c r="F262" s="13">
        <v>2.6</v>
      </c>
      <c r="G262" s="14">
        <f t="shared" si="8"/>
        <v>6.24</v>
      </c>
      <c r="H262" s="40">
        <v>0</v>
      </c>
      <c r="I262" s="13">
        <v>1</v>
      </c>
      <c r="J262" s="15">
        <f t="shared" si="9"/>
        <v>6.24</v>
      </c>
      <c r="K262" s="12"/>
    </row>
    <row r="263" spans="1:11" x14ac:dyDescent="0.25">
      <c r="A263" s="12"/>
      <c r="B263" s="32" t="s">
        <v>131</v>
      </c>
      <c r="C263" s="31" t="s">
        <v>0</v>
      </c>
      <c r="D263" s="13">
        <v>6.15</v>
      </c>
      <c r="E263" s="13" t="s">
        <v>0</v>
      </c>
      <c r="F263" s="13">
        <v>2.6</v>
      </c>
      <c r="G263" s="14">
        <f t="shared" si="8"/>
        <v>15.990000000000002</v>
      </c>
      <c r="H263" s="40">
        <v>0</v>
      </c>
      <c r="I263" s="13">
        <v>1</v>
      </c>
      <c r="J263" s="15">
        <f t="shared" si="9"/>
        <v>15.990000000000002</v>
      </c>
      <c r="K263" s="12"/>
    </row>
    <row r="264" spans="1:11" x14ac:dyDescent="0.25">
      <c r="A264" s="12"/>
      <c r="B264" s="32" t="s">
        <v>132</v>
      </c>
      <c r="C264" s="31" t="s">
        <v>0</v>
      </c>
      <c r="D264" s="13">
        <v>2</v>
      </c>
      <c r="E264" s="13" t="s">
        <v>0</v>
      </c>
      <c r="F264" s="13">
        <v>0.5</v>
      </c>
      <c r="G264" s="14">
        <f t="shared" si="8"/>
        <v>1</v>
      </c>
      <c r="H264" s="40">
        <v>0</v>
      </c>
      <c r="I264" s="13">
        <v>1</v>
      </c>
      <c r="J264" s="15">
        <f t="shared" si="9"/>
        <v>1</v>
      </c>
      <c r="K264" s="12"/>
    </row>
    <row r="265" spans="1:11" x14ac:dyDescent="0.25">
      <c r="A265" s="12"/>
      <c r="B265" s="32" t="s">
        <v>133</v>
      </c>
      <c r="C265" s="31" t="s">
        <v>134</v>
      </c>
      <c r="D265" s="13">
        <v>0.37</v>
      </c>
      <c r="E265" s="13" t="s">
        <v>0</v>
      </c>
      <c r="F265" s="13">
        <v>2.6</v>
      </c>
      <c r="G265" s="14">
        <f t="shared" si="8"/>
        <v>0.96199999999999997</v>
      </c>
      <c r="H265" s="40">
        <v>0</v>
      </c>
      <c r="I265" s="13">
        <v>2</v>
      </c>
      <c r="J265" s="15">
        <f t="shared" si="9"/>
        <v>1.9239999999999999</v>
      </c>
      <c r="K265" s="12"/>
    </row>
    <row r="266" spans="1:11" x14ac:dyDescent="0.25">
      <c r="A266" s="12"/>
      <c r="B266" s="32" t="s">
        <v>135</v>
      </c>
      <c r="C266" s="31" t="s">
        <v>0</v>
      </c>
      <c r="D266" s="13">
        <v>2</v>
      </c>
      <c r="E266" s="13" t="s">
        <v>0</v>
      </c>
      <c r="F266" s="13">
        <v>0.5</v>
      </c>
      <c r="G266" s="14">
        <f t="shared" si="8"/>
        <v>1</v>
      </c>
      <c r="H266" s="40">
        <v>0</v>
      </c>
      <c r="I266" s="13">
        <v>1</v>
      </c>
      <c r="J266" s="15">
        <f t="shared" si="9"/>
        <v>1</v>
      </c>
      <c r="K266" s="12"/>
    </row>
    <row r="267" spans="1:11" x14ac:dyDescent="0.25">
      <c r="A267" s="2"/>
      <c r="B267" s="16"/>
      <c r="C267" s="17"/>
      <c r="D267" s="9"/>
      <c r="E267" s="9"/>
      <c r="F267" s="9"/>
      <c r="G267" s="9"/>
      <c r="H267" s="9"/>
      <c r="I267" s="9"/>
      <c r="J267" s="9"/>
      <c r="K267" s="2"/>
    </row>
    <row r="268" spans="1:11" s="92" customFormat="1" x14ac:dyDescent="0.25">
      <c r="B268" s="93" t="s">
        <v>136</v>
      </c>
      <c r="C268" s="94" t="s">
        <v>137</v>
      </c>
      <c r="D268" s="94" t="s">
        <v>0</v>
      </c>
      <c r="E268" s="94" t="s">
        <v>0</v>
      </c>
      <c r="F268" s="94" t="s">
        <v>0</v>
      </c>
      <c r="G268" s="94" t="s">
        <v>0</v>
      </c>
      <c r="H268" s="95" t="s">
        <v>0</v>
      </c>
      <c r="I268" s="95"/>
      <c r="J268" s="96">
        <f>SUM(J269:J269)</f>
        <v>0</v>
      </c>
    </row>
    <row r="269" spans="1:11" s="92" customFormat="1" x14ac:dyDescent="0.25">
      <c r="B269" s="93"/>
      <c r="C269" s="97"/>
      <c r="D269" s="98"/>
      <c r="E269" s="98"/>
      <c r="F269" s="98"/>
      <c r="G269" s="99"/>
      <c r="H269" s="100"/>
      <c r="I269" s="98"/>
      <c r="J269" s="100"/>
    </row>
    <row r="270" spans="1:11" s="92" customFormat="1" x14ac:dyDescent="0.25">
      <c r="H270" s="101"/>
      <c r="I270" s="101"/>
      <c r="J270" s="101"/>
    </row>
    <row r="271" spans="1:11" s="92" customFormat="1" x14ac:dyDescent="0.25">
      <c r="B271" s="93" t="s">
        <v>138</v>
      </c>
      <c r="C271" s="94" t="s">
        <v>139</v>
      </c>
      <c r="D271" s="94" t="s">
        <v>0</v>
      </c>
      <c r="E271" s="94" t="s">
        <v>0</v>
      </c>
      <c r="F271" s="94" t="s">
        <v>0</v>
      </c>
      <c r="G271" s="94" t="s">
        <v>0</v>
      </c>
      <c r="H271" s="95" t="s">
        <v>0</v>
      </c>
      <c r="I271" s="95"/>
      <c r="J271" s="96">
        <f>SUM(J272:J272)</f>
        <v>0</v>
      </c>
    </row>
    <row r="272" spans="1:11" s="92" customFormat="1" x14ac:dyDescent="0.25">
      <c r="B272" s="93"/>
      <c r="C272" s="97"/>
      <c r="D272" s="98"/>
      <c r="E272" s="98"/>
      <c r="F272" s="98"/>
      <c r="G272" s="99"/>
      <c r="H272" s="100"/>
      <c r="I272" s="98"/>
      <c r="J272" s="100"/>
    </row>
    <row r="273" spans="2:10" s="92" customFormat="1" x14ac:dyDescent="0.25">
      <c r="H273" s="101"/>
      <c r="I273" s="101"/>
      <c r="J273" s="101"/>
    </row>
    <row r="274" spans="2:10" s="92" customFormat="1" x14ac:dyDescent="0.25">
      <c r="B274" s="93" t="s">
        <v>140</v>
      </c>
      <c r="C274" s="94" t="s">
        <v>141</v>
      </c>
      <c r="D274" s="94" t="s">
        <v>0</v>
      </c>
      <c r="E274" s="94" t="s">
        <v>0</v>
      </c>
      <c r="F274" s="94" t="s">
        <v>0</v>
      </c>
      <c r="G274" s="94" t="s">
        <v>0</v>
      </c>
      <c r="H274" s="95" t="s">
        <v>0</v>
      </c>
      <c r="I274" s="95"/>
      <c r="J274" s="96">
        <f>SUM(J275:J275)</f>
        <v>0</v>
      </c>
    </row>
    <row r="275" spans="2:10" s="92" customFormat="1" x14ac:dyDescent="0.25">
      <c r="B275" s="93"/>
      <c r="C275" s="97"/>
      <c r="D275" s="98"/>
      <c r="E275" s="98"/>
      <c r="F275" s="98"/>
      <c r="G275" s="99"/>
      <c r="H275" s="100"/>
      <c r="I275" s="98"/>
      <c r="J275" s="100"/>
    </row>
    <row r="276" spans="2:10" s="92" customFormat="1" x14ac:dyDescent="0.25">
      <c r="H276" s="101"/>
      <c r="I276" s="101"/>
      <c r="J276" s="101"/>
    </row>
    <row r="277" spans="2:10" s="92" customFormat="1" x14ac:dyDescent="0.25">
      <c r="B277" s="93" t="s">
        <v>142</v>
      </c>
      <c r="C277" s="94" t="s">
        <v>143</v>
      </c>
      <c r="D277" s="94" t="s">
        <v>0</v>
      </c>
      <c r="E277" s="94" t="s">
        <v>0</v>
      </c>
      <c r="F277" s="94" t="s">
        <v>0</v>
      </c>
      <c r="G277" s="94" t="s">
        <v>0</v>
      </c>
      <c r="H277" s="95" t="s">
        <v>0</v>
      </c>
      <c r="I277" s="95"/>
      <c r="J277" s="96">
        <f>SUM(J278:J278)</f>
        <v>0</v>
      </c>
    </row>
    <row r="278" spans="2:10" s="92" customFormat="1" x14ac:dyDescent="0.25">
      <c r="B278" s="93"/>
      <c r="C278" s="97"/>
      <c r="D278" s="98"/>
      <c r="E278" s="98"/>
      <c r="F278" s="98"/>
      <c r="G278" s="99"/>
      <c r="H278" s="100"/>
      <c r="I278" s="98"/>
      <c r="J278" s="100"/>
    </row>
    <row r="279" spans="2:10" s="92" customFormat="1" x14ac:dyDescent="0.25">
      <c r="H279" s="101"/>
      <c r="I279" s="101"/>
      <c r="J279" s="101"/>
    </row>
    <row r="280" spans="2:10" s="92" customFormat="1" x14ac:dyDescent="0.25">
      <c r="B280" s="93" t="s">
        <v>144</v>
      </c>
      <c r="C280" s="94" t="s">
        <v>145</v>
      </c>
      <c r="D280" s="94" t="s">
        <v>0</v>
      </c>
      <c r="E280" s="94" t="s">
        <v>0</v>
      </c>
      <c r="F280" s="94" t="s">
        <v>0</v>
      </c>
      <c r="G280" s="94" t="s">
        <v>0</v>
      </c>
      <c r="H280" s="95" t="s">
        <v>0</v>
      </c>
      <c r="I280" s="95"/>
      <c r="J280" s="96">
        <f>SUM(J281:J281)</f>
        <v>0</v>
      </c>
    </row>
    <row r="281" spans="2:10" s="92" customFormat="1" x14ac:dyDescent="0.25">
      <c r="B281" s="93"/>
      <c r="C281" s="97"/>
      <c r="D281" s="98"/>
      <c r="E281" s="98"/>
      <c r="F281" s="98"/>
      <c r="G281" s="99"/>
      <c r="H281" s="100"/>
      <c r="I281" s="98"/>
      <c r="J281" s="100"/>
    </row>
    <row r="283" spans="2:10" x14ac:dyDescent="0.25">
      <c r="B283" s="10" t="s">
        <v>47</v>
      </c>
      <c r="C283" s="718" t="s">
        <v>48</v>
      </c>
      <c r="D283" s="718"/>
      <c r="E283" s="718"/>
      <c r="F283" s="718"/>
      <c r="G283" s="718"/>
      <c r="H283" s="718"/>
      <c r="I283" s="718"/>
      <c r="J283" s="11"/>
    </row>
    <row r="284" spans="2:10" x14ac:dyDescent="0.25">
      <c r="B284" s="33"/>
      <c r="C284" s="34" t="s">
        <v>8</v>
      </c>
      <c r="D284" s="35"/>
      <c r="E284" s="35"/>
      <c r="F284" s="35"/>
      <c r="G284" s="36"/>
      <c r="H284" s="37"/>
      <c r="I284" s="35"/>
      <c r="J284" s="38" t="s">
        <v>0</v>
      </c>
    </row>
    <row r="285" spans="2:10" x14ac:dyDescent="0.25">
      <c r="B285" s="39" t="s">
        <v>75</v>
      </c>
      <c r="C285" s="31" t="s">
        <v>76</v>
      </c>
      <c r="D285" s="13">
        <v>2</v>
      </c>
      <c r="E285" s="13" t="s">
        <v>0</v>
      </c>
      <c r="F285" s="13">
        <v>2.1</v>
      </c>
      <c r="G285" s="14">
        <f t="shared" ref="G285:G292" si="10">PRODUCT(D285,E285,F285)</f>
        <v>4.2</v>
      </c>
      <c r="H285" s="40">
        <v>0</v>
      </c>
      <c r="I285" s="13">
        <v>1</v>
      </c>
      <c r="J285" s="15">
        <f>IF(G285&gt;0,G285*I285,H285*I285)</f>
        <v>4.2</v>
      </c>
    </row>
    <row r="286" spans="2:10" x14ac:dyDescent="0.25">
      <c r="B286" s="39" t="s">
        <v>77</v>
      </c>
      <c r="C286" s="31" t="s">
        <v>78</v>
      </c>
      <c r="D286" s="13">
        <v>0.8</v>
      </c>
      <c r="E286" s="13" t="s">
        <v>0</v>
      </c>
      <c r="F286" s="13">
        <f>$F$285</f>
        <v>2.1</v>
      </c>
      <c r="G286" s="14">
        <f t="shared" si="10"/>
        <v>1.6800000000000002</v>
      </c>
      <c r="H286" s="40">
        <v>0</v>
      </c>
      <c r="I286" s="13">
        <v>39</v>
      </c>
      <c r="J286" s="15">
        <f t="shared" ref="J286:J292" si="11">IF(G286&gt;0,G286*I286,H286*I286)</f>
        <v>65.52000000000001</v>
      </c>
    </row>
    <row r="287" spans="2:10" x14ac:dyDescent="0.25">
      <c r="B287" s="39" t="s">
        <v>79</v>
      </c>
      <c r="C287" s="31" t="s">
        <v>80</v>
      </c>
      <c r="D287" s="13">
        <v>0.9</v>
      </c>
      <c r="E287" s="13" t="s">
        <v>0</v>
      </c>
      <c r="F287" s="13">
        <f t="shared" ref="F287:F292" si="12">$F$285</f>
        <v>2.1</v>
      </c>
      <c r="G287" s="14">
        <f t="shared" si="10"/>
        <v>1.8900000000000001</v>
      </c>
      <c r="H287" s="40">
        <v>0</v>
      </c>
      <c r="I287" s="13">
        <v>2</v>
      </c>
      <c r="J287" s="15">
        <f t="shared" si="11"/>
        <v>3.7800000000000002</v>
      </c>
    </row>
    <row r="288" spans="2:10" x14ac:dyDescent="0.25">
      <c r="B288" s="39" t="s">
        <v>81</v>
      </c>
      <c r="C288" s="31" t="s">
        <v>82</v>
      </c>
      <c r="D288" s="13">
        <v>1.6</v>
      </c>
      <c r="E288" s="13" t="s">
        <v>0</v>
      </c>
      <c r="F288" s="13">
        <f t="shared" si="12"/>
        <v>2.1</v>
      </c>
      <c r="G288" s="14">
        <f t="shared" si="10"/>
        <v>3.3600000000000003</v>
      </c>
      <c r="H288" s="40">
        <v>0</v>
      </c>
      <c r="I288" s="13">
        <v>2</v>
      </c>
      <c r="J288" s="15">
        <f t="shared" si="11"/>
        <v>6.7200000000000006</v>
      </c>
    </row>
    <row r="289" spans="2:10" x14ac:dyDescent="0.25">
      <c r="B289" s="39" t="s">
        <v>83</v>
      </c>
      <c r="C289" s="31" t="s">
        <v>82</v>
      </c>
      <c r="D289" s="13">
        <v>1.6</v>
      </c>
      <c r="E289" s="13" t="s">
        <v>0</v>
      </c>
      <c r="F289" s="13">
        <f t="shared" si="12"/>
        <v>2.1</v>
      </c>
      <c r="G289" s="14">
        <f t="shared" si="10"/>
        <v>3.3600000000000003</v>
      </c>
      <c r="H289" s="40">
        <v>0</v>
      </c>
      <c r="I289" s="13">
        <v>1</v>
      </c>
      <c r="J289" s="15">
        <f t="shared" si="11"/>
        <v>3.3600000000000003</v>
      </c>
    </row>
    <row r="290" spans="2:10" x14ac:dyDescent="0.25">
      <c r="B290" s="39" t="s">
        <v>146</v>
      </c>
      <c r="C290" s="31" t="s">
        <v>82</v>
      </c>
      <c r="D290" s="13">
        <v>2.2000000000000002</v>
      </c>
      <c r="E290" s="13" t="s">
        <v>0</v>
      </c>
      <c r="F290" s="13">
        <f t="shared" si="12"/>
        <v>2.1</v>
      </c>
      <c r="G290" s="14">
        <f t="shared" si="10"/>
        <v>4.620000000000001</v>
      </c>
      <c r="H290" s="40">
        <v>0</v>
      </c>
      <c r="I290" s="13">
        <v>3</v>
      </c>
      <c r="J290" s="15">
        <f t="shared" si="11"/>
        <v>13.860000000000003</v>
      </c>
    </row>
    <row r="291" spans="2:10" x14ac:dyDescent="0.25">
      <c r="B291" s="39" t="s">
        <v>147</v>
      </c>
      <c r="C291" s="31" t="s">
        <v>82</v>
      </c>
      <c r="D291" s="13">
        <v>2.1</v>
      </c>
      <c r="E291" s="13" t="s">
        <v>0</v>
      </c>
      <c r="F291" s="13">
        <f t="shared" si="12"/>
        <v>2.1</v>
      </c>
      <c r="G291" s="14">
        <f t="shared" si="10"/>
        <v>4.41</v>
      </c>
      <c r="H291" s="40">
        <v>0</v>
      </c>
      <c r="I291" s="13">
        <v>2</v>
      </c>
      <c r="J291" s="15">
        <f t="shared" si="11"/>
        <v>8.82</v>
      </c>
    </row>
    <row r="292" spans="2:10" x14ac:dyDescent="0.25">
      <c r="B292" s="39" t="s">
        <v>84</v>
      </c>
      <c r="C292" s="31" t="s">
        <v>85</v>
      </c>
      <c r="D292" s="13">
        <v>1</v>
      </c>
      <c r="E292" s="13" t="s">
        <v>0</v>
      </c>
      <c r="F292" s="13">
        <f t="shared" si="12"/>
        <v>2.1</v>
      </c>
      <c r="G292" s="14">
        <f t="shared" si="10"/>
        <v>2.1</v>
      </c>
      <c r="H292" s="40">
        <v>0</v>
      </c>
      <c r="I292" s="13">
        <v>15</v>
      </c>
      <c r="J292" s="15">
        <f t="shared" si="11"/>
        <v>31.5</v>
      </c>
    </row>
    <row r="293" spans="2:10" x14ac:dyDescent="0.25">
      <c r="B293" s="33"/>
      <c r="C293" s="34" t="s">
        <v>25</v>
      </c>
      <c r="D293" s="35"/>
      <c r="E293" s="35"/>
      <c r="F293" s="35"/>
      <c r="G293" s="36"/>
      <c r="H293" s="37"/>
      <c r="I293" s="35"/>
      <c r="J293" s="38"/>
    </row>
    <row r="294" spans="2:10" x14ac:dyDescent="0.25">
      <c r="B294" s="126" t="s">
        <v>88</v>
      </c>
      <c r="C294" s="31" t="s">
        <v>89</v>
      </c>
      <c r="D294" s="13">
        <v>0.6</v>
      </c>
      <c r="E294" s="13" t="s">
        <v>0</v>
      </c>
      <c r="F294" s="13">
        <v>1.8</v>
      </c>
      <c r="G294" s="14">
        <f>PRODUCT(D294,E294,F294)</f>
        <v>1.08</v>
      </c>
      <c r="H294" s="40">
        <v>0</v>
      </c>
      <c r="I294" s="13">
        <v>10</v>
      </c>
      <c r="J294" s="15">
        <f>IF(G294&gt;0,G294*I294,H294*I294)</f>
        <v>10.8</v>
      </c>
    </row>
    <row r="295" spans="2:10" x14ac:dyDescent="0.25">
      <c r="B295" s="126" t="s">
        <v>148</v>
      </c>
      <c r="C295" s="31" t="s">
        <v>78</v>
      </c>
      <c r="D295" s="13">
        <v>0.6</v>
      </c>
      <c r="E295" s="13" t="s">
        <v>0</v>
      </c>
      <c r="F295" s="13">
        <v>2.1</v>
      </c>
      <c r="G295" s="14">
        <f>PRODUCT(D295,E295,F295)</f>
        <v>1.26</v>
      </c>
      <c r="H295" s="40">
        <v>0</v>
      </c>
      <c r="I295" s="13">
        <v>10</v>
      </c>
      <c r="J295" s="15">
        <f>IF(G295&gt;0,G295*I295,H295*I295)</f>
        <v>12.6</v>
      </c>
    </row>
    <row r="296" spans="2:10" x14ac:dyDescent="0.25">
      <c r="B296" s="33"/>
      <c r="C296" s="34" t="s">
        <v>31</v>
      </c>
      <c r="D296" s="35"/>
      <c r="E296" s="35"/>
      <c r="F296" s="35" t="s">
        <v>0</v>
      </c>
      <c r="G296" s="36"/>
      <c r="H296" s="37"/>
      <c r="I296" s="35"/>
      <c r="J296" s="38" t="s">
        <v>0</v>
      </c>
    </row>
    <row r="297" spans="2:10" x14ac:dyDescent="0.25">
      <c r="B297" s="32" t="s">
        <v>149</v>
      </c>
      <c r="C297" s="31" t="s">
        <v>93</v>
      </c>
      <c r="D297" s="13">
        <v>4</v>
      </c>
      <c r="E297" s="13" t="s">
        <v>0</v>
      </c>
      <c r="F297" s="13">
        <v>0.6</v>
      </c>
      <c r="G297" s="14">
        <f t="shared" ref="G297:G303" si="13">PRODUCT(D297,E297,F297)</f>
        <v>2.4</v>
      </c>
      <c r="H297" s="40">
        <v>0</v>
      </c>
      <c r="I297" s="13">
        <v>2</v>
      </c>
      <c r="J297" s="15">
        <f t="shared" ref="J297:J303" si="14">IF(G297&gt;0,G297*I297,H297*I297)</f>
        <v>4.8</v>
      </c>
    </row>
    <row r="298" spans="2:10" x14ac:dyDescent="0.25">
      <c r="B298" s="32" t="s">
        <v>150</v>
      </c>
      <c r="C298" s="31" t="s">
        <v>93</v>
      </c>
      <c r="D298" s="13">
        <v>5</v>
      </c>
      <c r="E298" s="13" t="s">
        <v>0</v>
      </c>
      <c r="F298" s="14">
        <v>0.6</v>
      </c>
      <c r="G298" s="14">
        <f t="shared" si="13"/>
        <v>3</v>
      </c>
      <c r="H298" s="40">
        <v>0</v>
      </c>
      <c r="I298" s="13">
        <v>1</v>
      </c>
      <c r="J298" s="15">
        <f t="shared" si="14"/>
        <v>3</v>
      </c>
    </row>
    <row r="299" spans="2:10" x14ac:dyDescent="0.25">
      <c r="B299" s="32" t="s">
        <v>103</v>
      </c>
      <c r="C299" s="31" t="s">
        <v>93</v>
      </c>
      <c r="D299" s="13">
        <v>2.2999999999999998</v>
      </c>
      <c r="E299" s="13" t="s">
        <v>0</v>
      </c>
      <c r="F299" s="14">
        <v>0.6</v>
      </c>
      <c r="G299" s="14">
        <f t="shared" si="13"/>
        <v>1.38</v>
      </c>
      <c r="H299" s="40">
        <v>0</v>
      </c>
      <c r="I299" s="13">
        <v>2</v>
      </c>
      <c r="J299" s="15">
        <f t="shared" si="14"/>
        <v>2.76</v>
      </c>
    </row>
    <row r="300" spans="2:10" x14ac:dyDescent="0.25">
      <c r="B300" s="32" t="s">
        <v>151</v>
      </c>
      <c r="C300" s="31" t="s">
        <v>93</v>
      </c>
      <c r="D300" s="13">
        <v>7.5</v>
      </c>
      <c r="E300" s="13" t="s">
        <v>0</v>
      </c>
      <c r="F300" s="14">
        <v>0.6</v>
      </c>
      <c r="G300" s="14">
        <f t="shared" si="13"/>
        <v>4.5</v>
      </c>
      <c r="H300" s="40">
        <v>0</v>
      </c>
      <c r="I300" s="13">
        <v>6</v>
      </c>
      <c r="J300" s="15">
        <f t="shared" si="14"/>
        <v>27</v>
      </c>
    </row>
    <row r="301" spans="2:10" x14ac:dyDescent="0.25">
      <c r="B301" s="32" t="s">
        <v>152</v>
      </c>
      <c r="C301" s="31" t="s">
        <v>93</v>
      </c>
      <c r="D301" s="13">
        <v>1.6</v>
      </c>
      <c r="E301" s="13" t="s">
        <v>0</v>
      </c>
      <c r="F301" s="14">
        <v>0.6</v>
      </c>
      <c r="G301" s="14">
        <f t="shared" si="13"/>
        <v>0.96</v>
      </c>
      <c r="H301" s="40">
        <v>0</v>
      </c>
      <c r="I301" s="13">
        <v>1</v>
      </c>
      <c r="J301" s="15">
        <f t="shared" si="14"/>
        <v>0.96</v>
      </c>
    </row>
    <row r="302" spans="2:10" x14ac:dyDescent="0.25">
      <c r="B302" s="32" t="s">
        <v>153</v>
      </c>
      <c r="C302" s="31" t="s">
        <v>93</v>
      </c>
      <c r="D302" s="13">
        <v>4.9000000000000004</v>
      </c>
      <c r="E302" s="13" t="s">
        <v>0</v>
      </c>
      <c r="F302" s="14">
        <v>0.6</v>
      </c>
      <c r="G302" s="14">
        <f t="shared" si="13"/>
        <v>2.94</v>
      </c>
      <c r="H302" s="40">
        <v>0</v>
      </c>
      <c r="I302" s="13">
        <v>2</v>
      </c>
      <c r="J302" s="15">
        <f t="shared" si="14"/>
        <v>5.88</v>
      </c>
    </row>
    <row r="303" spans="2:10" x14ac:dyDescent="0.25">
      <c r="B303" s="32" t="s">
        <v>154</v>
      </c>
      <c r="C303" s="31" t="s">
        <v>93</v>
      </c>
      <c r="D303" s="13">
        <v>1.03</v>
      </c>
      <c r="E303" s="13" t="s">
        <v>0</v>
      </c>
      <c r="F303" s="13">
        <v>1.76</v>
      </c>
      <c r="G303" s="14">
        <f t="shared" si="13"/>
        <v>1.8128</v>
      </c>
      <c r="H303" s="40">
        <v>0</v>
      </c>
      <c r="I303" s="13">
        <v>80</v>
      </c>
      <c r="J303" s="15">
        <f t="shared" si="14"/>
        <v>145.024</v>
      </c>
    </row>
    <row r="305" spans="2:10" x14ac:dyDescent="0.25">
      <c r="B305" s="10" t="s">
        <v>49</v>
      </c>
      <c r="C305" s="718" t="s">
        <v>50</v>
      </c>
      <c r="D305" s="718"/>
      <c r="E305" s="718"/>
      <c r="F305" s="718"/>
      <c r="G305" s="718"/>
      <c r="H305" s="718"/>
      <c r="I305" s="718"/>
      <c r="J305" s="11"/>
    </row>
    <row r="306" spans="2:10" x14ac:dyDescent="0.25">
      <c r="B306" s="33"/>
      <c r="C306" s="34" t="s">
        <v>8</v>
      </c>
      <c r="D306" s="35"/>
      <c r="E306" s="35"/>
      <c r="F306" s="35"/>
      <c r="G306" s="36"/>
      <c r="H306" s="37"/>
      <c r="I306" s="35"/>
      <c r="J306" s="38" t="s">
        <v>0</v>
      </c>
    </row>
    <row r="307" spans="2:10" x14ac:dyDescent="0.25">
      <c r="B307" s="39" t="s">
        <v>77</v>
      </c>
      <c r="C307" s="31" t="s">
        <v>78</v>
      </c>
      <c r="D307" s="13">
        <v>0.8</v>
      </c>
      <c r="E307" s="13" t="s">
        <v>0</v>
      </c>
      <c r="F307" s="13">
        <v>2.1</v>
      </c>
      <c r="G307" s="14">
        <f>PRODUCT(D307,E307,F307)</f>
        <v>1.6800000000000002</v>
      </c>
      <c r="H307" s="40">
        <v>0</v>
      </c>
      <c r="I307" s="13">
        <v>32</v>
      </c>
      <c r="J307" s="15">
        <f>IF(G307&gt;0,G307*I307,H307*I307)</f>
        <v>53.760000000000005</v>
      </c>
    </row>
    <row r="308" spans="2:10" x14ac:dyDescent="0.25">
      <c r="B308" s="39" t="s">
        <v>79</v>
      </c>
      <c r="C308" s="31" t="s">
        <v>80</v>
      </c>
      <c r="D308" s="13">
        <v>0.9</v>
      </c>
      <c r="E308" s="13" t="s">
        <v>0</v>
      </c>
      <c r="F308" s="13">
        <f>$F$285</f>
        <v>2.1</v>
      </c>
      <c r="G308" s="14">
        <f>PRODUCT(D308,E308,F308)</f>
        <v>1.8900000000000001</v>
      </c>
      <c r="H308" s="40">
        <v>0</v>
      </c>
      <c r="I308" s="13">
        <v>2</v>
      </c>
      <c r="J308" s="15">
        <f>IF(G308&gt;0,G308*I308,H308*I308)</f>
        <v>3.7800000000000002</v>
      </c>
    </row>
    <row r="309" spans="2:10" x14ac:dyDescent="0.25">
      <c r="B309" s="39" t="s">
        <v>81</v>
      </c>
      <c r="C309" s="31" t="s">
        <v>82</v>
      </c>
      <c r="D309" s="13">
        <v>1.6</v>
      </c>
      <c r="E309" s="13" t="s">
        <v>0</v>
      </c>
      <c r="F309" s="13">
        <f>$F$285</f>
        <v>2.1</v>
      </c>
      <c r="G309" s="14">
        <f>PRODUCT(D309,E309,F309)</f>
        <v>3.3600000000000003</v>
      </c>
      <c r="H309" s="40">
        <v>0</v>
      </c>
      <c r="I309" s="13">
        <v>13</v>
      </c>
      <c r="J309" s="15">
        <f>IF(G309&gt;0,G309*I309,H309*I309)</f>
        <v>43.680000000000007</v>
      </c>
    </row>
    <row r="310" spans="2:10" x14ac:dyDescent="0.25">
      <c r="B310" s="39" t="s">
        <v>155</v>
      </c>
      <c r="C310" s="31" t="s">
        <v>82</v>
      </c>
      <c r="D310" s="13">
        <v>1.2</v>
      </c>
      <c r="E310" s="13" t="s">
        <v>0</v>
      </c>
      <c r="F310" s="13">
        <f>$F$285</f>
        <v>2.1</v>
      </c>
      <c r="G310" s="14">
        <f>PRODUCT(D310,E310,F310)</f>
        <v>2.52</v>
      </c>
      <c r="H310" s="40">
        <v>0</v>
      </c>
      <c r="I310" s="13">
        <v>8</v>
      </c>
      <c r="J310" s="15">
        <f>IF(G310&gt;0,G310*I310,H310*I310)</f>
        <v>20.16</v>
      </c>
    </row>
    <row r="311" spans="2:10" x14ac:dyDescent="0.25">
      <c r="B311" s="39" t="s">
        <v>84</v>
      </c>
      <c r="C311" s="31" t="s">
        <v>85</v>
      </c>
      <c r="D311" s="13">
        <v>1</v>
      </c>
      <c r="E311" s="13" t="s">
        <v>0</v>
      </c>
      <c r="F311" s="13">
        <f>$F$285</f>
        <v>2.1</v>
      </c>
      <c r="G311" s="14">
        <f>PRODUCT(D311,E311,F311)</f>
        <v>2.1</v>
      </c>
      <c r="H311" s="40">
        <v>0</v>
      </c>
      <c r="I311" s="13">
        <v>9</v>
      </c>
      <c r="J311" s="15">
        <f>IF(G311&gt;0,G311*I311,H311*I311)</f>
        <v>18.900000000000002</v>
      </c>
    </row>
    <row r="312" spans="2:10" x14ac:dyDescent="0.25">
      <c r="B312" s="33"/>
      <c r="C312" s="34" t="s">
        <v>25</v>
      </c>
      <c r="D312" s="35"/>
      <c r="E312" s="35"/>
      <c r="F312" s="35"/>
      <c r="G312" s="36"/>
      <c r="H312" s="37"/>
      <c r="I312" s="35"/>
      <c r="J312" s="38"/>
    </row>
    <row r="313" spans="2:10" x14ac:dyDescent="0.25">
      <c r="B313" s="126" t="s">
        <v>88</v>
      </c>
      <c r="C313" s="31" t="s">
        <v>89</v>
      </c>
      <c r="D313" s="13">
        <v>0.6</v>
      </c>
      <c r="E313" s="13" t="s">
        <v>0</v>
      </c>
      <c r="F313" s="13">
        <v>1.8</v>
      </c>
      <c r="G313" s="14">
        <f>PRODUCT(D313,E313,F313)</f>
        <v>1.08</v>
      </c>
      <c r="H313" s="40">
        <v>0</v>
      </c>
      <c r="I313" s="13">
        <v>8</v>
      </c>
      <c r="J313" s="15">
        <f>IF(G313&gt;0,G313*I313,H313*I313)</f>
        <v>8.64</v>
      </c>
    </row>
    <row r="314" spans="2:10" x14ac:dyDescent="0.25">
      <c r="B314" s="33"/>
      <c r="C314" s="34" t="s">
        <v>31</v>
      </c>
      <c r="D314" s="35"/>
      <c r="E314" s="35"/>
      <c r="F314" s="35" t="s">
        <v>0</v>
      </c>
      <c r="G314" s="36"/>
      <c r="H314" s="37"/>
      <c r="I314" s="35"/>
      <c r="J314" s="38" t="s">
        <v>0</v>
      </c>
    </row>
    <row r="315" spans="2:10" x14ac:dyDescent="0.25">
      <c r="B315" s="32" t="s">
        <v>149</v>
      </c>
      <c r="C315" s="31" t="s">
        <v>93</v>
      </c>
      <c r="D315" s="13">
        <v>4</v>
      </c>
      <c r="E315" s="13" t="s">
        <v>0</v>
      </c>
      <c r="F315" s="13">
        <v>0.6</v>
      </c>
      <c r="G315" s="14">
        <f t="shared" ref="G315:G327" si="15">PRODUCT(D315,E315,F315)</f>
        <v>2.4</v>
      </c>
      <c r="H315" s="40">
        <v>0</v>
      </c>
      <c r="I315" s="13">
        <v>2</v>
      </c>
      <c r="J315" s="15">
        <f t="shared" ref="J315:J327" si="16">IF(G315&gt;0,G315*I315,H315*I315)</f>
        <v>4.8</v>
      </c>
    </row>
    <row r="316" spans="2:10" x14ac:dyDescent="0.25">
      <c r="B316" s="32" t="s">
        <v>156</v>
      </c>
      <c r="C316" s="31" t="s">
        <v>93</v>
      </c>
      <c r="D316" s="13">
        <v>1.2</v>
      </c>
      <c r="E316" s="13" t="s">
        <v>0</v>
      </c>
      <c r="F316" s="13">
        <v>0.6</v>
      </c>
      <c r="G316" s="14">
        <f t="shared" si="15"/>
        <v>0.72</v>
      </c>
      <c r="H316" s="40">
        <v>0</v>
      </c>
      <c r="I316" s="13">
        <v>1</v>
      </c>
      <c r="J316" s="15">
        <f t="shared" si="16"/>
        <v>0.72</v>
      </c>
    </row>
    <row r="317" spans="2:10" x14ac:dyDescent="0.25">
      <c r="B317" s="32" t="s">
        <v>156</v>
      </c>
      <c r="C317" s="31" t="s">
        <v>93</v>
      </c>
      <c r="D317" s="13">
        <v>1.2</v>
      </c>
      <c r="E317" s="13" t="s">
        <v>0</v>
      </c>
      <c r="F317" s="13">
        <v>0.6</v>
      </c>
      <c r="G317" s="14">
        <f t="shared" si="15"/>
        <v>0.72</v>
      </c>
      <c r="H317" s="40">
        <v>0</v>
      </c>
      <c r="I317" s="13">
        <v>1</v>
      </c>
      <c r="J317" s="15">
        <f t="shared" si="16"/>
        <v>0.72</v>
      </c>
    </row>
    <row r="318" spans="2:10" x14ac:dyDescent="0.25">
      <c r="B318" s="32" t="s">
        <v>150</v>
      </c>
      <c r="C318" s="31" t="s">
        <v>93</v>
      </c>
      <c r="D318" s="13">
        <v>4.6500000000000004</v>
      </c>
      <c r="E318" s="13" t="s">
        <v>0</v>
      </c>
      <c r="F318" s="13">
        <v>0.6</v>
      </c>
      <c r="G318" s="14">
        <f t="shared" si="15"/>
        <v>2.79</v>
      </c>
      <c r="H318" s="40">
        <v>0</v>
      </c>
      <c r="I318" s="13">
        <v>1</v>
      </c>
      <c r="J318" s="15">
        <f t="shared" si="16"/>
        <v>2.79</v>
      </c>
    </row>
    <row r="319" spans="2:10" x14ac:dyDescent="0.25">
      <c r="B319" s="32" t="s">
        <v>157</v>
      </c>
      <c r="C319" s="31" t="s">
        <v>93</v>
      </c>
      <c r="D319" s="13">
        <v>4.9000000000000004</v>
      </c>
      <c r="E319" s="13" t="s">
        <v>0</v>
      </c>
      <c r="F319" s="13">
        <v>0.6</v>
      </c>
      <c r="G319" s="14">
        <f t="shared" si="15"/>
        <v>2.94</v>
      </c>
      <c r="H319" s="40">
        <v>0</v>
      </c>
      <c r="I319" s="13">
        <v>1</v>
      </c>
      <c r="J319" s="15">
        <f t="shared" si="16"/>
        <v>2.94</v>
      </c>
    </row>
    <row r="320" spans="2:10" x14ac:dyDescent="0.25">
      <c r="B320" s="32" t="s">
        <v>158</v>
      </c>
      <c r="C320" s="31" t="s">
        <v>93</v>
      </c>
      <c r="D320" s="13">
        <v>3.95</v>
      </c>
      <c r="E320" s="13" t="s">
        <v>0</v>
      </c>
      <c r="F320" s="13">
        <v>0.6</v>
      </c>
      <c r="G320" s="14">
        <f t="shared" si="15"/>
        <v>2.37</v>
      </c>
      <c r="H320" s="40">
        <v>0</v>
      </c>
      <c r="I320" s="13">
        <v>1</v>
      </c>
      <c r="J320" s="15">
        <f t="shared" si="16"/>
        <v>2.37</v>
      </c>
    </row>
    <row r="321" spans="2:10" x14ac:dyDescent="0.25">
      <c r="B321" s="32" t="s">
        <v>159</v>
      </c>
      <c r="C321" s="31" t="s">
        <v>93</v>
      </c>
      <c r="D321" s="13">
        <v>4.3</v>
      </c>
      <c r="E321" s="13" t="s">
        <v>0</v>
      </c>
      <c r="F321" s="13">
        <v>0.6</v>
      </c>
      <c r="G321" s="14">
        <f t="shared" si="15"/>
        <v>2.5799999999999996</v>
      </c>
      <c r="H321" s="40">
        <v>0</v>
      </c>
      <c r="I321" s="13">
        <v>1</v>
      </c>
      <c r="J321" s="15">
        <f t="shared" si="16"/>
        <v>2.5799999999999996</v>
      </c>
    </row>
    <row r="322" spans="2:10" x14ac:dyDescent="0.25">
      <c r="B322" s="32" t="s">
        <v>160</v>
      </c>
      <c r="C322" s="31" t="s">
        <v>93</v>
      </c>
      <c r="D322" s="13">
        <v>5</v>
      </c>
      <c r="E322" s="13" t="s">
        <v>0</v>
      </c>
      <c r="F322" s="13">
        <v>0.6</v>
      </c>
      <c r="G322" s="14">
        <f t="shared" si="15"/>
        <v>3</v>
      </c>
      <c r="H322" s="40">
        <v>0</v>
      </c>
      <c r="I322" s="13">
        <v>1</v>
      </c>
      <c r="J322" s="15">
        <f t="shared" si="16"/>
        <v>3</v>
      </c>
    </row>
    <row r="323" spans="2:10" x14ac:dyDescent="0.25">
      <c r="B323" s="32" t="s">
        <v>161</v>
      </c>
      <c r="C323" s="31" t="s">
        <v>93</v>
      </c>
      <c r="D323" s="13">
        <v>3</v>
      </c>
      <c r="E323" s="13" t="s">
        <v>0</v>
      </c>
      <c r="F323" s="13">
        <v>0.6</v>
      </c>
      <c r="G323" s="14">
        <f t="shared" si="15"/>
        <v>1.7999999999999998</v>
      </c>
      <c r="H323" s="40">
        <v>0</v>
      </c>
      <c r="I323" s="13">
        <v>1</v>
      </c>
      <c r="J323" s="15">
        <f t="shared" si="16"/>
        <v>1.7999999999999998</v>
      </c>
    </row>
    <row r="324" spans="2:10" x14ac:dyDescent="0.25">
      <c r="B324" s="32" t="s">
        <v>162</v>
      </c>
      <c r="C324" s="31" t="s">
        <v>93</v>
      </c>
      <c r="D324" s="13">
        <v>3.3</v>
      </c>
      <c r="E324" s="13" t="s">
        <v>0</v>
      </c>
      <c r="F324" s="13">
        <v>0.6</v>
      </c>
      <c r="G324" s="14">
        <f t="shared" si="15"/>
        <v>1.9799999999999998</v>
      </c>
      <c r="H324" s="40">
        <v>0</v>
      </c>
      <c r="I324" s="13">
        <v>2</v>
      </c>
      <c r="J324" s="15">
        <f t="shared" si="16"/>
        <v>3.9599999999999995</v>
      </c>
    </row>
    <row r="325" spans="2:10" x14ac:dyDescent="0.25">
      <c r="B325" s="32" t="s">
        <v>163</v>
      </c>
      <c r="C325" s="31" t="s">
        <v>93</v>
      </c>
      <c r="D325" s="13">
        <v>1.6</v>
      </c>
      <c r="E325" s="13" t="s">
        <v>0</v>
      </c>
      <c r="F325" s="13">
        <v>0.6</v>
      </c>
      <c r="G325" s="14">
        <f t="shared" si="15"/>
        <v>0.96</v>
      </c>
      <c r="H325" s="40">
        <v>0</v>
      </c>
      <c r="I325" s="13">
        <v>2</v>
      </c>
      <c r="J325" s="15">
        <f t="shared" si="16"/>
        <v>1.92</v>
      </c>
    </row>
    <row r="326" spans="2:10" x14ac:dyDescent="0.25">
      <c r="B326" s="32" t="s">
        <v>154</v>
      </c>
      <c r="C326" s="31" t="s">
        <v>93</v>
      </c>
      <c r="D326" s="13">
        <v>1.03</v>
      </c>
      <c r="E326" s="13" t="s">
        <v>0</v>
      </c>
      <c r="F326" s="13">
        <v>1.76</v>
      </c>
      <c r="G326" s="14">
        <f t="shared" si="15"/>
        <v>1.8128</v>
      </c>
      <c r="H326" s="40">
        <v>0</v>
      </c>
      <c r="I326" s="13">
        <v>96</v>
      </c>
      <c r="J326" s="15">
        <f t="shared" si="16"/>
        <v>174.02879999999999</v>
      </c>
    </row>
    <row r="327" spans="2:10" x14ac:dyDescent="0.25">
      <c r="B327" s="32" t="s">
        <v>164</v>
      </c>
      <c r="C327" s="31" t="s">
        <v>93</v>
      </c>
      <c r="D327" s="13">
        <v>8.1999999999999993</v>
      </c>
      <c r="E327" s="13" t="s">
        <v>0</v>
      </c>
      <c r="F327" s="13">
        <v>0.6</v>
      </c>
      <c r="G327" s="14">
        <f t="shared" si="15"/>
        <v>4.919999999999999</v>
      </c>
      <c r="H327" s="40">
        <v>0</v>
      </c>
      <c r="I327" s="13">
        <v>1</v>
      </c>
      <c r="J327" s="15">
        <f t="shared" si="16"/>
        <v>4.919999999999999</v>
      </c>
    </row>
    <row r="328" spans="2:10" x14ac:dyDescent="0.25">
      <c r="B328" s="33"/>
      <c r="C328" s="34" t="s">
        <v>38</v>
      </c>
      <c r="D328" s="35"/>
      <c r="E328" s="35"/>
      <c r="F328" s="35"/>
      <c r="G328" s="36"/>
      <c r="H328" s="37"/>
      <c r="I328" s="35"/>
      <c r="J328" s="38" t="s">
        <v>0</v>
      </c>
    </row>
    <row r="329" spans="2:10" x14ac:dyDescent="0.25">
      <c r="B329" s="32" t="s">
        <v>121</v>
      </c>
      <c r="C329" s="31" t="s">
        <v>165</v>
      </c>
      <c r="D329" s="13">
        <v>2</v>
      </c>
      <c r="E329" s="13" t="s">
        <v>0</v>
      </c>
      <c r="F329" s="13">
        <v>1.1000000000000001</v>
      </c>
      <c r="G329" s="14">
        <f>PRODUCT(D329,E329,F329)</f>
        <v>2.2000000000000002</v>
      </c>
      <c r="H329" s="40">
        <v>0</v>
      </c>
      <c r="I329" s="13">
        <v>1</v>
      </c>
      <c r="J329" s="15">
        <f>IF(G329&gt;0,G329*I329,H329*I329)</f>
        <v>2.2000000000000002</v>
      </c>
    </row>
    <row r="330" spans="2:10" x14ac:dyDescent="0.25">
      <c r="B330" s="32" t="s">
        <v>125</v>
      </c>
      <c r="C330" s="31" t="s">
        <v>166</v>
      </c>
      <c r="D330" s="13">
        <v>1.5</v>
      </c>
      <c r="E330" s="13" t="s">
        <v>0</v>
      </c>
      <c r="F330" s="13">
        <v>1.1000000000000001</v>
      </c>
      <c r="G330" s="14">
        <f>PRODUCT(D330,E330,F330)</f>
        <v>1.6500000000000001</v>
      </c>
      <c r="H330" s="40">
        <v>0</v>
      </c>
      <c r="I330" s="13">
        <v>1</v>
      </c>
      <c r="J330" s="15">
        <f>IF(G330&gt;0,G330*I330,H330*I330)</f>
        <v>1.6500000000000001</v>
      </c>
    </row>
    <row r="332" spans="2:10" x14ac:dyDescent="0.25">
      <c r="B332" s="10" t="s">
        <v>51</v>
      </c>
      <c r="C332" s="718" t="s">
        <v>52</v>
      </c>
      <c r="D332" s="718"/>
      <c r="E332" s="718"/>
      <c r="F332" s="718"/>
      <c r="G332" s="718"/>
      <c r="H332" s="718"/>
      <c r="I332" s="718"/>
      <c r="J332" s="11"/>
    </row>
    <row r="333" spans="2:10" x14ac:dyDescent="0.25">
      <c r="B333" s="33"/>
      <c r="C333" s="34" t="s">
        <v>8</v>
      </c>
      <c r="D333" s="35"/>
      <c r="E333" s="35"/>
      <c r="F333" s="35"/>
      <c r="G333" s="36"/>
      <c r="H333" s="37"/>
      <c r="I333" s="35"/>
      <c r="J333" s="38" t="s">
        <v>0</v>
      </c>
    </row>
    <row r="334" spans="2:10" x14ac:dyDescent="0.25">
      <c r="B334" s="39" t="s">
        <v>77</v>
      </c>
      <c r="C334" s="31" t="s">
        <v>78</v>
      </c>
      <c r="D334" s="13">
        <v>0.8</v>
      </c>
      <c r="E334" s="13" t="s">
        <v>0</v>
      </c>
      <c r="F334" s="13">
        <v>2.1</v>
      </c>
      <c r="G334" s="14">
        <f>PRODUCT(D334,E334,F334)</f>
        <v>1.6800000000000002</v>
      </c>
      <c r="H334" s="40">
        <v>0</v>
      </c>
      <c r="I334" s="13">
        <v>33</v>
      </c>
      <c r="J334" s="15">
        <f>IF(G334&gt;0,G334*I334,H334*I334)</f>
        <v>55.440000000000005</v>
      </c>
    </row>
    <row r="335" spans="2:10" x14ac:dyDescent="0.25">
      <c r="B335" s="39" t="s">
        <v>79</v>
      </c>
      <c r="C335" s="31" t="s">
        <v>80</v>
      </c>
      <c r="D335" s="13">
        <v>0.9</v>
      </c>
      <c r="E335" s="13" t="s">
        <v>0</v>
      </c>
      <c r="F335" s="13">
        <f>$F$285</f>
        <v>2.1</v>
      </c>
      <c r="G335" s="14">
        <f>PRODUCT(D335,E335,F335)</f>
        <v>1.8900000000000001</v>
      </c>
      <c r="H335" s="40">
        <v>0</v>
      </c>
      <c r="I335" s="13">
        <v>2</v>
      </c>
      <c r="J335" s="15">
        <f>IF(G335&gt;0,G335*I335,H335*I335)</f>
        <v>3.7800000000000002</v>
      </c>
    </row>
    <row r="336" spans="2:10" x14ac:dyDescent="0.25">
      <c r="B336" s="39" t="s">
        <v>81</v>
      </c>
      <c r="C336" s="31" t="s">
        <v>82</v>
      </c>
      <c r="D336" s="13">
        <v>1.6</v>
      </c>
      <c r="E336" s="13" t="s">
        <v>0</v>
      </c>
      <c r="F336" s="13">
        <f>$F$285</f>
        <v>2.1</v>
      </c>
      <c r="G336" s="14">
        <f>PRODUCT(D336,E336,F336)</f>
        <v>3.3600000000000003</v>
      </c>
      <c r="H336" s="40">
        <v>0</v>
      </c>
      <c r="I336" s="13">
        <v>5</v>
      </c>
      <c r="J336" s="15">
        <f>IF(G336&gt;0,G336*I336,H336*I336)</f>
        <v>16.8</v>
      </c>
    </row>
    <row r="337" spans="2:10" x14ac:dyDescent="0.25">
      <c r="B337" s="39" t="s">
        <v>155</v>
      </c>
      <c r="C337" s="31" t="s">
        <v>82</v>
      </c>
      <c r="D337" s="13">
        <v>1.2</v>
      </c>
      <c r="E337" s="13" t="s">
        <v>0</v>
      </c>
      <c r="F337" s="13">
        <f>$F$285</f>
        <v>2.1</v>
      </c>
      <c r="G337" s="14">
        <f>PRODUCT(D337,E337,F337)</f>
        <v>2.52</v>
      </c>
      <c r="H337" s="40">
        <v>0</v>
      </c>
      <c r="I337" s="13">
        <v>2</v>
      </c>
      <c r="J337" s="15">
        <f>IF(G337&gt;0,G337*I337,H337*I337)</f>
        <v>5.04</v>
      </c>
    </row>
    <row r="338" spans="2:10" x14ac:dyDescent="0.25">
      <c r="B338" s="39" t="s">
        <v>84</v>
      </c>
      <c r="C338" s="31" t="s">
        <v>85</v>
      </c>
      <c r="D338" s="13">
        <v>1</v>
      </c>
      <c r="E338" s="13" t="s">
        <v>0</v>
      </c>
      <c r="F338" s="13">
        <f>$F$285</f>
        <v>2.1</v>
      </c>
      <c r="G338" s="14">
        <f>PRODUCT(D338,E338,F338)</f>
        <v>2.1</v>
      </c>
      <c r="H338" s="40">
        <v>0</v>
      </c>
      <c r="I338" s="13">
        <v>9</v>
      </c>
      <c r="J338" s="15">
        <f>IF(G338&gt;0,G338*I338,H338*I338)</f>
        <v>18.900000000000002</v>
      </c>
    </row>
    <row r="339" spans="2:10" x14ac:dyDescent="0.25">
      <c r="B339" s="33"/>
      <c r="C339" s="34" t="s">
        <v>31</v>
      </c>
      <c r="D339" s="35"/>
      <c r="E339" s="35"/>
      <c r="F339" s="35" t="s">
        <v>0</v>
      </c>
      <c r="G339" s="36"/>
      <c r="H339" s="37"/>
      <c r="I339" s="35"/>
      <c r="J339" s="38" t="s">
        <v>0</v>
      </c>
    </row>
    <row r="340" spans="2:10" x14ac:dyDescent="0.25">
      <c r="B340" s="32" t="s">
        <v>149</v>
      </c>
      <c r="C340" s="31" t="s">
        <v>93</v>
      </c>
      <c r="D340" s="13">
        <v>4</v>
      </c>
      <c r="E340" s="13" t="s">
        <v>0</v>
      </c>
      <c r="F340" s="13">
        <v>0.6</v>
      </c>
      <c r="G340" s="14">
        <f t="shared" ref="G340:G346" si="17">PRODUCT(D340,E340,F340)</f>
        <v>2.4</v>
      </c>
      <c r="H340" s="40">
        <v>0</v>
      </c>
      <c r="I340" s="13">
        <v>2</v>
      </c>
      <c r="J340" s="15">
        <f t="shared" ref="J340:J346" si="18">IF(G340&gt;0,G340*I340,H340*I340)</f>
        <v>4.8</v>
      </c>
    </row>
    <row r="341" spans="2:10" x14ac:dyDescent="0.25">
      <c r="B341" s="32" t="s">
        <v>156</v>
      </c>
      <c r="C341" s="31" t="s">
        <v>93</v>
      </c>
      <c r="D341" s="13">
        <v>1.2</v>
      </c>
      <c r="E341" s="13" t="s">
        <v>0</v>
      </c>
      <c r="F341" s="13">
        <v>0.6</v>
      </c>
      <c r="G341" s="14">
        <f t="shared" si="17"/>
        <v>0.72</v>
      </c>
      <c r="H341" s="40">
        <v>0</v>
      </c>
      <c r="I341" s="13">
        <v>1</v>
      </c>
      <c r="J341" s="15">
        <f t="shared" si="18"/>
        <v>0.72</v>
      </c>
    </row>
    <row r="342" spans="2:10" x14ac:dyDescent="0.25">
      <c r="B342" s="32" t="s">
        <v>156</v>
      </c>
      <c r="C342" s="31" t="s">
        <v>93</v>
      </c>
      <c r="D342" s="13">
        <v>1.2</v>
      </c>
      <c r="E342" s="13" t="s">
        <v>0</v>
      </c>
      <c r="F342" s="13">
        <v>0.6</v>
      </c>
      <c r="G342" s="14">
        <f t="shared" si="17"/>
        <v>0.72</v>
      </c>
      <c r="H342" s="40">
        <v>0</v>
      </c>
      <c r="I342" s="13">
        <v>1</v>
      </c>
      <c r="J342" s="15">
        <f t="shared" si="18"/>
        <v>0.72</v>
      </c>
    </row>
    <row r="343" spans="2:10" x14ac:dyDescent="0.25">
      <c r="B343" s="32" t="s">
        <v>150</v>
      </c>
      <c r="C343" s="31" t="s">
        <v>93</v>
      </c>
      <c r="D343" s="13">
        <v>2.4500000000000002</v>
      </c>
      <c r="E343" s="13" t="s">
        <v>0</v>
      </c>
      <c r="F343" s="13">
        <v>0.6</v>
      </c>
      <c r="G343" s="14">
        <f t="shared" si="17"/>
        <v>1.47</v>
      </c>
      <c r="H343" s="40">
        <v>0</v>
      </c>
      <c r="I343" s="13">
        <v>2</v>
      </c>
      <c r="J343" s="15">
        <f t="shared" si="18"/>
        <v>2.94</v>
      </c>
    </row>
    <row r="344" spans="2:10" x14ac:dyDescent="0.25">
      <c r="B344" s="32" t="s">
        <v>167</v>
      </c>
      <c r="C344" s="31" t="s">
        <v>93</v>
      </c>
      <c r="D344" s="13">
        <v>13.45</v>
      </c>
      <c r="E344" s="13" t="s">
        <v>0</v>
      </c>
      <c r="F344" s="13">
        <v>0.6</v>
      </c>
      <c r="G344" s="14">
        <f t="shared" si="17"/>
        <v>8.0699999999999985</v>
      </c>
      <c r="H344" s="40">
        <v>0</v>
      </c>
      <c r="I344" s="13">
        <v>2</v>
      </c>
      <c r="J344" s="15">
        <f t="shared" si="18"/>
        <v>16.139999999999997</v>
      </c>
    </row>
    <row r="345" spans="2:10" x14ac:dyDescent="0.25">
      <c r="B345" s="32" t="s">
        <v>168</v>
      </c>
      <c r="C345" s="31" t="s">
        <v>93</v>
      </c>
      <c r="D345" s="13">
        <v>1</v>
      </c>
      <c r="E345" s="13" t="s">
        <v>0</v>
      </c>
      <c r="F345" s="13">
        <v>0.6</v>
      </c>
      <c r="G345" s="14">
        <f t="shared" si="17"/>
        <v>0.6</v>
      </c>
      <c r="H345" s="40">
        <v>0</v>
      </c>
      <c r="I345" s="13">
        <v>2</v>
      </c>
      <c r="J345" s="15">
        <f t="shared" si="18"/>
        <v>1.2</v>
      </c>
    </row>
    <row r="346" spans="2:10" x14ac:dyDescent="0.25">
      <c r="B346" s="32" t="s">
        <v>154</v>
      </c>
      <c r="C346" s="31" t="s">
        <v>93</v>
      </c>
      <c r="D346" s="13">
        <v>1.03</v>
      </c>
      <c r="E346" s="13" t="s">
        <v>0</v>
      </c>
      <c r="F346" s="13">
        <v>1.76</v>
      </c>
      <c r="G346" s="14">
        <f t="shared" si="17"/>
        <v>1.8128</v>
      </c>
      <c r="H346" s="40">
        <v>0</v>
      </c>
      <c r="I346" s="13">
        <v>96</v>
      </c>
      <c r="J346" s="15">
        <f t="shared" si="18"/>
        <v>174.02879999999999</v>
      </c>
    </row>
    <row r="347" spans="2:10" x14ac:dyDescent="0.25">
      <c r="B347" s="33"/>
      <c r="C347" s="34" t="s">
        <v>38</v>
      </c>
      <c r="D347" s="35"/>
      <c r="E347" s="35"/>
      <c r="F347" s="35"/>
      <c r="G347" s="36"/>
      <c r="H347" s="37"/>
      <c r="I347" s="35"/>
      <c r="J347" s="38" t="s">
        <v>0</v>
      </c>
    </row>
    <row r="348" spans="2:10" x14ac:dyDescent="0.25">
      <c r="B348" s="32" t="s">
        <v>121</v>
      </c>
      <c r="C348" s="31" t="s">
        <v>169</v>
      </c>
      <c r="D348" s="13">
        <v>2</v>
      </c>
      <c r="E348" s="13" t="s">
        <v>0</v>
      </c>
      <c r="F348" s="13">
        <v>1.1000000000000001</v>
      </c>
      <c r="G348" s="14">
        <f>PRODUCT(D348,E348,F348)</f>
        <v>2.2000000000000002</v>
      </c>
      <c r="H348" s="40">
        <v>0</v>
      </c>
      <c r="I348" s="13">
        <v>1</v>
      </c>
      <c r="J348" s="15">
        <f>IF(G348&gt;0,G348*I348,H348*I348)</f>
        <v>2.2000000000000002</v>
      </c>
    </row>
    <row r="350" spans="2:10" x14ac:dyDescent="0.25">
      <c r="B350" s="10" t="s">
        <v>53</v>
      </c>
      <c r="C350" s="718" t="s">
        <v>54</v>
      </c>
      <c r="D350" s="718"/>
      <c r="E350" s="718"/>
      <c r="F350" s="718"/>
      <c r="G350" s="718"/>
      <c r="H350" s="718"/>
      <c r="I350" s="718"/>
      <c r="J350" s="11"/>
    </row>
    <row r="351" spans="2:10" x14ac:dyDescent="0.25">
      <c r="B351" s="33"/>
      <c r="C351" s="34" t="s">
        <v>8</v>
      </c>
      <c r="D351" s="35"/>
      <c r="E351" s="35"/>
      <c r="F351" s="35"/>
      <c r="G351" s="36"/>
      <c r="H351" s="37"/>
      <c r="I351" s="35"/>
      <c r="J351" s="38" t="s">
        <v>0</v>
      </c>
    </row>
    <row r="352" spans="2:10" x14ac:dyDescent="0.25">
      <c r="B352" s="39" t="s">
        <v>77</v>
      </c>
      <c r="C352" s="31" t="s">
        <v>78</v>
      </c>
      <c r="D352" s="13">
        <v>0.8</v>
      </c>
      <c r="E352" s="13" t="s">
        <v>0</v>
      </c>
      <c r="F352" s="13">
        <v>2.1</v>
      </c>
      <c r="G352" s="14">
        <f>PRODUCT(D352,E352,F352)</f>
        <v>1.6800000000000002</v>
      </c>
      <c r="H352" s="40">
        <v>0</v>
      </c>
      <c r="I352" s="13">
        <v>42</v>
      </c>
      <c r="J352" s="15">
        <f>IF(G352&gt;0,G352*I352,H352*I352)</f>
        <v>70.56</v>
      </c>
    </row>
    <row r="353" spans="2:10" x14ac:dyDescent="0.25">
      <c r="B353" s="39" t="s">
        <v>79</v>
      </c>
      <c r="C353" s="31" t="s">
        <v>80</v>
      </c>
      <c r="D353" s="13">
        <v>0.9</v>
      </c>
      <c r="E353" s="13" t="s">
        <v>0</v>
      </c>
      <c r="F353" s="13">
        <f>$F$285</f>
        <v>2.1</v>
      </c>
      <c r="G353" s="14">
        <f>PRODUCT(D353,E353,F353)</f>
        <v>1.8900000000000001</v>
      </c>
      <c r="H353" s="40">
        <v>0</v>
      </c>
      <c r="I353" s="13">
        <v>4</v>
      </c>
      <c r="J353" s="15">
        <f>IF(G353&gt;0,G353*I353,H353*I353)</f>
        <v>7.5600000000000005</v>
      </c>
    </row>
    <row r="354" spans="2:10" x14ac:dyDescent="0.25">
      <c r="B354" s="39" t="s">
        <v>81</v>
      </c>
      <c r="C354" s="31" t="s">
        <v>82</v>
      </c>
      <c r="D354" s="13">
        <v>1.6</v>
      </c>
      <c r="E354" s="13" t="s">
        <v>0</v>
      </c>
      <c r="F354" s="13">
        <f>$F$285</f>
        <v>2.1</v>
      </c>
      <c r="G354" s="14">
        <f>PRODUCT(D354,E354,F354)</f>
        <v>3.3600000000000003</v>
      </c>
      <c r="H354" s="40">
        <v>0</v>
      </c>
      <c r="I354" s="13">
        <v>3</v>
      </c>
      <c r="J354" s="15">
        <f>IF(G354&gt;0,G354*I354,H354*I354)</f>
        <v>10.080000000000002</v>
      </c>
    </row>
    <row r="355" spans="2:10" x14ac:dyDescent="0.25">
      <c r="B355" s="39" t="s">
        <v>155</v>
      </c>
      <c r="C355" s="31" t="s">
        <v>82</v>
      </c>
      <c r="D355" s="13">
        <v>1.2</v>
      </c>
      <c r="E355" s="13" t="s">
        <v>0</v>
      </c>
      <c r="F355" s="13">
        <f>$F$285</f>
        <v>2.1</v>
      </c>
      <c r="G355" s="14">
        <f>PRODUCT(D355,E355,F355)</f>
        <v>2.52</v>
      </c>
      <c r="H355" s="40">
        <v>0</v>
      </c>
      <c r="I355" s="13">
        <v>3</v>
      </c>
      <c r="J355" s="15">
        <f>IF(G355&gt;0,G355*I355,H355*I355)</f>
        <v>7.5600000000000005</v>
      </c>
    </row>
    <row r="356" spans="2:10" x14ac:dyDescent="0.25">
      <c r="B356" s="39" t="s">
        <v>84</v>
      </c>
      <c r="C356" s="31" t="s">
        <v>85</v>
      </c>
      <c r="D356" s="13">
        <v>1</v>
      </c>
      <c r="E356" s="13" t="s">
        <v>0</v>
      </c>
      <c r="F356" s="13">
        <f>$F$285</f>
        <v>2.1</v>
      </c>
      <c r="G356" s="14">
        <f>PRODUCT(D356,E356,F356)</f>
        <v>2.1</v>
      </c>
      <c r="H356" s="40">
        <v>0</v>
      </c>
      <c r="I356" s="13">
        <v>9</v>
      </c>
      <c r="J356" s="15">
        <f>IF(G356&gt;0,G356*I356,H356*I356)</f>
        <v>18.900000000000002</v>
      </c>
    </row>
    <row r="357" spans="2:10" x14ac:dyDescent="0.25">
      <c r="B357" s="33"/>
      <c r="C357" s="34" t="s">
        <v>31</v>
      </c>
      <c r="D357" s="35"/>
      <c r="E357" s="35"/>
      <c r="F357" s="35" t="s">
        <v>0</v>
      </c>
      <c r="G357" s="36"/>
      <c r="H357" s="37"/>
      <c r="I357" s="35"/>
      <c r="J357" s="38" t="s">
        <v>0</v>
      </c>
    </row>
    <row r="358" spans="2:10" x14ac:dyDescent="0.25">
      <c r="B358" s="32" t="s">
        <v>149</v>
      </c>
      <c r="C358" s="31" t="s">
        <v>93</v>
      </c>
      <c r="D358" s="13">
        <v>4</v>
      </c>
      <c r="E358" s="13" t="s">
        <v>0</v>
      </c>
      <c r="F358" s="13">
        <v>0.6</v>
      </c>
      <c r="G358" s="14">
        <f t="shared" ref="G358:G370" si="19">PRODUCT(D358,E358,F358)</f>
        <v>2.4</v>
      </c>
      <c r="H358" s="40">
        <v>0</v>
      </c>
      <c r="I358" s="13">
        <v>2</v>
      </c>
      <c r="J358" s="15">
        <f t="shared" ref="J358:J370" si="20">IF(G358&gt;0,G358*I358,H358*I358)</f>
        <v>4.8</v>
      </c>
    </row>
    <row r="359" spans="2:10" x14ac:dyDescent="0.25">
      <c r="B359" s="32" t="s">
        <v>156</v>
      </c>
      <c r="C359" s="31" t="s">
        <v>93</v>
      </c>
      <c r="D359" s="13">
        <v>1.2</v>
      </c>
      <c r="E359" s="13" t="s">
        <v>0</v>
      </c>
      <c r="F359" s="13">
        <v>0.6</v>
      </c>
      <c r="G359" s="14">
        <f t="shared" si="19"/>
        <v>0.72</v>
      </c>
      <c r="H359" s="40">
        <v>0</v>
      </c>
      <c r="I359" s="13">
        <v>1</v>
      </c>
      <c r="J359" s="15">
        <f t="shared" si="20"/>
        <v>0.72</v>
      </c>
    </row>
    <row r="360" spans="2:10" x14ac:dyDescent="0.25">
      <c r="B360" s="32" t="s">
        <v>156</v>
      </c>
      <c r="C360" s="31" t="s">
        <v>93</v>
      </c>
      <c r="D360" s="13">
        <v>1.2</v>
      </c>
      <c r="E360" s="13" t="s">
        <v>0</v>
      </c>
      <c r="F360" s="13">
        <v>0.6</v>
      </c>
      <c r="G360" s="14">
        <f t="shared" si="19"/>
        <v>0.72</v>
      </c>
      <c r="H360" s="40">
        <v>0</v>
      </c>
      <c r="I360" s="13">
        <v>1</v>
      </c>
      <c r="J360" s="15">
        <f t="shared" si="20"/>
        <v>0.72</v>
      </c>
    </row>
    <row r="361" spans="2:10" x14ac:dyDescent="0.25">
      <c r="B361" s="32" t="s">
        <v>163</v>
      </c>
      <c r="C361" s="31" t="s">
        <v>93</v>
      </c>
      <c r="D361" s="13">
        <v>4</v>
      </c>
      <c r="E361" s="13" t="s">
        <v>0</v>
      </c>
      <c r="F361" s="13">
        <v>0.6</v>
      </c>
      <c r="G361" s="14">
        <f t="shared" si="19"/>
        <v>2.4</v>
      </c>
      <c r="H361" s="40">
        <v>0</v>
      </c>
      <c r="I361" s="13">
        <v>2</v>
      </c>
      <c r="J361" s="15">
        <f t="shared" si="20"/>
        <v>4.8</v>
      </c>
    </row>
    <row r="362" spans="2:10" x14ac:dyDescent="0.25">
      <c r="B362" s="32" t="s">
        <v>170</v>
      </c>
      <c r="C362" s="31" t="s">
        <v>93</v>
      </c>
      <c r="D362" s="13">
        <v>2</v>
      </c>
      <c r="E362" s="13" t="s">
        <v>0</v>
      </c>
      <c r="F362" s="13">
        <v>0.6</v>
      </c>
      <c r="G362" s="14">
        <f t="shared" si="19"/>
        <v>1.2</v>
      </c>
      <c r="H362" s="40">
        <v>0</v>
      </c>
      <c r="I362" s="13">
        <v>1</v>
      </c>
      <c r="J362" s="15">
        <f t="shared" si="20"/>
        <v>1.2</v>
      </c>
    </row>
    <row r="363" spans="2:10" x14ac:dyDescent="0.25">
      <c r="B363" s="32" t="s">
        <v>171</v>
      </c>
      <c r="C363" s="31" t="s">
        <v>93</v>
      </c>
      <c r="D363" s="13">
        <v>3.05</v>
      </c>
      <c r="E363" s="13" t="s">
        <v>0</v>
      </c>
      <c r="F363" s="13">
        <v>0.6</v>
      </c>
      <c r="G363" s="14">
        <f t="shared" si="19"/>
        <v>1.8299999999999998</v>
      </c>
      <c r="H363" s="40">
        <v>0</v>
      </c>
      <c r="I363" s="13">
        <v>1</v>
      </c>
      <c r="J363" s="15">
        <f t="shared" si="20"/>
        <v>1.8299999999999998</v>
      </c>
    </row>
    <row r="364" spans="2:10" x14ac:dyDescent="0.25">
      <c r="B364" s="32" t="s">
        <v>172</v>
      </c>
      <c r="C364" s="31" t="s">
        <v>93</v>
      </c>
      <c r="D364" s="13">
        <v>3.25</v>
      </c>
      <c r="E364" s="13" t="s">
        <v>0</v>
      </c>
      <c r="F364" s="13">
        <v>0.6</v>
      </c>
      <c r="G364" s="14">
        <f t="shared" si="19"/>
        <v>1.95</v>
      </c>
      <c r="H364" s="40">
        <v>0</v>
      </c>
      <c r="I364" s="13">
        <v>1</v>
      </c>
      <c r="J364" s="15">
        <f t="shared" si="20"/>
        <v>1.95</v>
      </c>
    </row>
    <row r="365" spans="2:10" x14ac:dyDescent="0.25">
      <c r="B365" s="32" t="s">
        <v>173</v>
      </c>
      <c r="C365" s="31" t="s">
        <v>93</v>
      </c>
      <c r="D365" s="13">
        <v>1.6</v>
      </c>
      <c r="E365" s="13" t="s">
        <v>0</v>
      </c>
      <c r="F365" s="13">
        <v>0.6</v>
      </c>
      <c r="G365" s="14">
        <f t="shared" si="19"/>
        <v>0.96</v>
      </c>
      <c r="H365" s="40">
        <v>0</v>
      </c>
      <c r="I365" s="13">
        <v>1</v>
      </c>
      <c r="J365" s="15">
        <f t="shared" si="20"/>
        <v>0.96</v>
      </c>
    </row>
    <row r="366" spans="2:10" x14ac:dyDescent="0.25">
      <c r="B366" s="32" t="s">
        <v>174</v>
      </c>
      <c r="C366" s="31" t="s">
        <v>93</v>
      </c>
      <c r="D366" s="13">
        <v>11.8</v>
      </c>
      <c r="E366" s="13" t="s">
        <v>0</v>
      </c>
      <c r="F366" s="13">
        <v>0.6</v>
      </c>
      <c r="G366" s="14">
        <f t="shared" si="19"/>
        <v>7.08</v>
      </c>
      <c r="H366" s="40">
        <v>0</v>
      </c>
      <c r="I366" s="13">
        <v>1</v>
      </c>
      <c r="J366" s="15">
        <f t="shared" si="20"/>
        <v>7.08</v>
      </c>
    </row>
    <row r="367" spans="2:10" x14ac:dyDescent="0.25">
      <c r="B367" s="32" t="s">
        <v>175</v>
      </c>
      <c r="C367" s="31" t="s">
        <v>93</v>
      </c>
      <c r="D367" s="13">
        <v>2.5</v>
      </c>
      <c r="E367" s="13" t="s">
        <v>0</v>
      </c>
      <c r="F367" s="13">
        <v>0.6</v>
      </c>
      <c r="G367" s="14">
        <f t="shared" si="19"/>
        <v>1.5</v>
      </c>
      <c r="H367" s="40">
        <v>0</v>
      </c>
      <c r="I367" s="13">
        <v>1</v>
      </c>
      <c r="J367" s="15">
        <f t="shared" si="20"/>
        <v>1.5</v>
      </c>
    </row>
    <row r="368" spans="2:10" x14ac:dyDescent="0.25">
      <c r="B368" s="32" t="s">
        <v>176</v>
      </c>
      <c r="C368" s="31" t="s">
        <v>93</v>
      </c>
      <c r="D368" s="13">
        <v>2.35</v>
      </c>
      <c r="E368" s="13" t="s">
        <v>0</v>
      </c>
      <c r="F368" s="13">
        <v>0.6</v>
      </c>
      <c r="G368" s="14">
        <f t="shared" si="19"/>
        <v>1.41</v>
      </c>
      <c r="H368" s="40">
        <v>0</v>
      </c>
      <c r="I368" s="13">
        <v>1</v>
      </c>
      <c r="J368" s="15">
        <f t="shared" si="20"/>
        <v>1.41</v>
      </c>
    </row>
    <row r="369" spans="2:10" x14ac:dyDescent="0.25">
      <c r="B369" s="32" t="s">
        <v>177</v>
      </c>
      <c r="C369" s="31" t="s">
        <v>93</v>
      </c>
      <c r="D369" s="13">
        <v>2.9</v>
      </c>
      <c r="E369" s="13" t="s">
        <v>0</v>
      </c>
      <c r="F369" s="13">
        <v>0.6</v>
      </c>
      <c r="G369" s="14">
        <f t="shared" si="19"/>
        <v>1.74</v>
      </c>
      <c r="H369" s="40">
        <v>0</v>
      </c>
      <c r="I369" s="13">
        <v>1</v>
      </c>
      <c r="J369" s="15">
        <f t="shared" si="20"/>
        <v>1.74</v>
      </c>
    </row>
    <row r="370" spans="2:10" x14ac:dyDescent="0.25">
      <c r="B370" s="32" t="s">
        <v>154</v>
      </c>
      <c r="C370" s="31" t="s">
        <v>93</v>
      </c>
      <c r="D370" s="13">
        <v>1.03</v>
      </c>
      <c r="E370" s="13" t="s">
        <v>0</v>
      </c>
      <c r="F370" s="13">
        <v>1.76</v>
      </c>
      <c r="G370" s="14">
        <f t="shared" si="19"/>
        <v>1.8128</v>
      </c>
      <c r="H370" s="40">
        <v>0</v>
      </c>
      <c r="I370" s="13">
        <v>96</v>
      </c>
      <c r="J370" s="15">
        <f t="shared" si="20"/>
        <v>174.02879999999999</v>
      </c>
    </row>
    <row r="372" spans="2:10" x14ac:dyDescent="0.25">
      <c r="B372" s="10" t="s">
        <v>55</v>
      </c>
      <c r="C372" s="718" t="s">
        <v>178</v>
      </c>
      <c r="D372" s="718"/>
      <c r="E372" s="718"/>
      <c r="F372" s="718"/>
      <c r="G372" s="718"/>
      <c r="H372" s="718"/>
      <c r="I372" s="718"/>
      <c r="J372" s="11"/>
    </row>
    <row r="373" spans="2:10" x14ac:dyDescent="0.25">
      <c r="B373" s="33"/>
      <c r="C373" s="34" t="s">
        <v>8</v>
      </c>
      <c r="D373" s="35"/>
      <c r="E373" s="35"/>
      <c r="F373" s="35"/>
      <c r="G373" s="36"/>
      <c r="H373" s="37"/>
      <c r="I373" s="35"/>
      <c r="J373" s="38" t="s">
        <v>0</v>
      </c>
    </row>
    <row r="374" spans="2:10" x14ac:dyDescent="0.25">
      <c r="B374" s="39" t="s">
        <v>77</v>
      </c>
      <c r="C374" s="31" t="s">
        <v>78</v>
      </c>
      <c r="D374" s="13">
        <v>0.8</v>
      </c>
      <c r="E374" s="13" t="s">
        <v>0</v>
      </c>
      <c r="F374" s="13">
        <v>2.1</v>
      </c>
      <c r="G374" s="14">
        <f>PRODUCT(D374,E374,F374)</f>
        <v>1.6800000000000002</v>
      </c>
      <c r="H374" s="40">
        <v>0</v>
      </c>
      <c r="I374" s="13">
        <v>33</v>
      </c>
      <c r="J374" s="15">
        <f>IF(G374&gt;0,G374*I374,H374*I374)</f>
        <v>55.440000000000005</v>
      </c>
    </row>
    <row r="375" spans="2:10" x14ac:dyDescent="0.25">
      <c r="B375" s="39" t="s">
        <v>79</v>
      </c>
      <c r="C375" s="31" t="s">
        <v>80</v>
      </c>
      <c r="D375" s="13">
        <v>0.9</v>
      </c>
      <c r="E375" s="13" t="s">
        <v>0</v>
      </c>
      <c r="F375" s="13">
        <f>$F$285</f>
        <v>2.1</v>
      </c>
      <c r="G375" s="14">
        <f>PRODUCT(D375,E375,F375)</f>
        <v>1.8900000000000001</v>
      </c>
      <c r="H375" s="40">
        <v>0</v>
      </c>
      <c r="I375" s="13">
        <v>4</v>
      </c>
      <c r="J375" s="15">
        <f>IF(G375&gt;0,G375*I375,H375*I375)</f>
        <v>7.5600000000000005</v>
      </c>
    </row>
    <row r="376" spans="2:10" x14ac:dyDescent="0.25">
      <c r="B376" s="39" t="s">
        <v>155</v>
      </c>
      <c r="C376" s="31" t="s">
        <v>82</v>
      </c>
      <c r="D376" s="13">
        <v>1.2</v>
      </c>
      <c r="E376" s="13" t="s">
        <v>0</v>
      </c>
      <c r="F376" s="13">
        <f>$F$285</f>
        <v>2.1</v>
      </c>
      <c r="G376" s="14">
        <f>PRODUCT(D376,E376,F376)</f>
        <v>2.52</v>
      </c>
      <c r="H376" s="40">
        <v>0</v>
      </c>
      <c r="I376" s="13">
        <v>15</v>
      </c>
      <c r="J376" s="15">
        <f>IF(G376&gt;0,G376*I376,H376*I376)</f>
        <v>37.799999999999997</v>
      </c>
    </row>
    <row r="377" spans="2:10" x14ac:dyDescent="0.25">
      <c r="B377" s="39" t="s">
        <v>84</v>
      </c>
      <c r="C377" s="31" t="s">
        <v>85</v>
      </c>
      <c r="D377" s="13">
        <v>1</v>
      </c>
      <c r="E377" s="13" t="s">
        <v>0</v>
      </c>
      <c r="F377" s="13">
        <f>$F$285</f>
        <v>2.1</v>
      </c>
      <c r="G377" s="14">
        <f>PRODUCT(D377,E377,F377)</f>
        <v>2.1</v>
      </c>
      <c r="H377" s="40">
        <v>0</v>
      </c>
      <c r="I377" s="13">
        <v>9</v>
      </c>
      <c r="J377" s="15">
        <f>IF(G377&gt;0,G377*I377,H377*I377)</f>
        <v>18.900000000000002</v>
      </c>
    </row>
    <row r="378" spans="2:10" x14ac:dyDescent="0.25">
      <c r="B378" s="33"/>
      <c r="C378" s="34" t="s">
        <v>25</v>
      </c>
      <c r="D378" s="35"/>
      <c r="E378" s="35"/>
      <c r="F378" s="35"/>
      <c r="G378" s="36"/>
      <c r="H378" s="37"/>
      <c r="I378" s="35"/>
      <c r="J378" s="38"/>
    </row>
    <row r="379" spans="2:10" x14ac:dyDescent="0.25">
      <c r="B379" s="126" t="s">
        <v>88</v>
      </c>
      <c r="C379" s="31" t="s">
        <v>89</v>
      </c>
      <c r="D379" s="13">
        <v>0.6</v>
      </c>
      <c r="E379" s="13" t="s">
        <v>0</v>
      </c>
      <c r="F379" s="13">
        <v>1.8</v>
      </c>
      <c r="G379" s="14">
        <f>PRODUCT(D379,E379,F379)</f>
        <v>1.08</v>
      </c>
      <c r="H379" s="40">
        <v>0</v>
      </c>
      <c r="I379" s="13">
        <v>10</v>
      </c>
      <c r="J379" s="15">
        <f>IF(G379&gt;0,G379*I379,H379*I379)</f>
        <v>10.8</v>
      </c>
    </row>
    <row r="380" spans="2:10" x14ac:dyDescent="0.25">
      <c r="B380" s="33"/>
      <c r="C380" s="34" t="s">
        <v>31</v>
      </c>
      <c r="D380" s="35"/>
      <c r="E380" s="35"/>
      <c r="F380" s="35" t="s">
        <v>0</v>
      </c>
      <c r="G380" s="36"/>
      <c r="H380" s="37"/>
      <c r="I380" s="35"/>
      <c r="J380" s="38" t="s">
        <v>0</v>
      </c>
    </row>
    <row r="381" spans="2:10" x14ac:dyDescent="0.25">
      <c r="B381" s="32" t="s">
        <v>149</v>
      </c>
      <c r="C381" s="31" t="s">
        <v>93</v>
      </c>
      <c r="D381" s="13">
        <v>4</v>
      </c>
      <c r="E381" s="13" t="s">
        <v>0</v>
      </c>
      <c r="F381" s="13">
        <v>0.6</v>
      </c>
      <c r="G381" s="14">
        <f t="shared" ref="G381:G394" si="21">PRODUCT(D381,E381,F381)</f>
        <v>2.4</v>
      </c>
      <c r="H381" s="40">
        <v>0</v>
      </c>
      <c r="I381" s="13">
        <v>2</v>
      </c>
      <c r="J381" s="15">
        <f t="shared" ref="J381:J394" si="22">IF(G381&gt;0,G381*I381,H381*I381)</f>
        <v>4.8</v>
      </c>
    </row>
    <row r="382" spans="2:10" x14ac:dyDescent="0.25">
      <c r="B382" s="32" t="s">
        <v>156</v>
      </c>
      <c r="C382" s="31" t="s">
        <v>93</v>
      </c>
      <c r="D382" s="13">
        <v>1.2</v>
      </c>
      <c r="E382" s="13" t="s">
        <v>0</v>
      </c>
      <c r="F382" s="13">
        <v>0.6</v>
      </c>
      <c r="G382" s="14">
        <f t="shared" si="21"/>
        <v>0.72</v>
      </c>
      <c r="H382" s="40">
        <v>0</v>
      </c>
      <c r="I382" s="13">
        <v>1</v>
      </c>
      <c r="J382" s="15">
        <f t="shared" si="22"/>
        <v>0.72</v>
      </c>
    </row>
    <row r="383" spans="2:10" x14ac:dyDescent="0.25">
      <c r="B383" s="32" t="s">
        <v>156</v>
      </c>
      <c r="C383" s="31" t="s">
        <v>93</v>
      </c>
      <c r="D383" s="13">
        <v>1.2</v>
      </c>
      <c r="E383" s="13" t="s">
        <v>0</v>
      </c>
      <c r="F383" s="13">
        <v>0.6</v>
      </c>
      <c r="G383" s="14">
        <f t="shared" si="21"/>
        <v>0.72</v>
      </c>
      <c r="H383" s="40">
        <v>0</v>
      </c>
      <c r="I383" s="13">
        <v>1</v>
      </c>
      <c r="J383" s="15">
        <f t="shared" si="22"/>
        <v>0.72</v>
      </c>
    </row>
    <row r="384" spans="2:10" x14ac:dyDescent="0.25">
      <c r="B384" s="32" t="s">
        <v>150</v>
      </c>
      <c r="C384" s="31" t="s">
        <v>93</v>
      </c>
      <c r="D384" s="13">
        <v>4.5999999999999996</v>
      </c>
      <c r="E384" s="13" t="s">
        <v>0</v>
      </c>
      <c r="F384" s="13">
        <v>0.6</v>
      </c>
      <c r="G384" s="14">
        <f t="shared" si="21"/>
        <v>2.76</v>
      </c>
      <c r="H384" s="40">
        <v>0</v>
      </c>
      <c r="I384" s="13">
        <v>1</v>
      </c>
      <c r="J384" s="15">
        <f t="shared" si="22"/>
        <v>2.76</v>
      </c>
    </row>
    <row r="385" spans="2:10" x14ac:dyDescent="0.25">
      <c r="B385" s="32" t="s">
        <v>152</v>
      </c>
      <c r="C385" s="31" t="s">
        <v>93</v>
      </c>
      <c r="D385" s="13">
        <v>1.6</v>
      </c>
      <c r="E385" s="13" t="s">
        <v>0</v>
      </c>
      <c r="F385" s="13">
        <v>0.6</v>
      </c>
      <c r="G385" s="14">
        <f t="shared" si="21"/>
        <v>0.96</v>
      </c>
      <c r="H385" s="40">
        <v>0</v>
      </c>
      <c r="I385" s="13">
        <v>5</v>
      </c>
      <c r="J385" s="15">
        <f t="shared" si="22"/>
        <v>4.8</v>
      </c>
    </row>
    <row r="386" spans="2:10" x14ac:dyDescent="0.25">
      <c r="B386" s="32" t="s">
        <v>179</v>
      </c>
      <c r="C386" s="31" t="s">
        <v>93</v>
      </c>
      <c r="D386" s="13">
        <v>1.65</v>
      </c>
      <c r="E386" s="13" t="s">
        <v>0</v>
      </c>
      <c r="F386" s="13">
        <v>0.6</v>
      </c>
      <c r="G386" s="14">
        <f t="shared" si="21"/>
        <v>0.98999999999999988</v>
      </c>
      <c r="H386" s="40">
        <v>0</v>
      </c>
      <c r="I386" s="13">
        <v>1</v>
      </c>
      <c r="J386" s="15">
        <f t="shared" si="22"/>
        <v>0.98999999999999988</v>
      </c>
    </row>
    <row r="387" spans="2:10" x14ac:dyDescent="0.25">
      <c r="B387" s="32" t="s">
        <v>180</v>
      </c>
      <c r="C387" s="31" t="s">
        <v>93</v>
      </c>
      <c r="D387" s="13">
        <v>1.55</v>
      </c>
      <c r="E387" s="13" t="s">
        <v>0</v>
      </c>
      <c r="F387" s="13">
        <v>0.6</v>
      </c>
      <c r="G387" s="14">
        <f t="shared" si="21"/>
        <v>0.92999999999999994</v>
      </c>
      <c r="H387" s="40">
        <v>0</v>
      </c>
      <c r="I387" s="13">
        <v>1</v>
      </c>
      <c r="J387" s="15">
        <f t="shared" si="22"/>
        <v>0.92999999999999994</v>
      </c>
    </row>
    <row r="388" spans="2:10" x14ac:dyDescent="0.25">
      <c r="B388" s="32" t="s">
        <v>154</v>
      </c>
      <c r="C388" s="31" t="s">
        <v>93</v>
      </c>
      <c r="D388" s="13">
        <v>1.03</v>
      </c>
      <c r="E388" s="13" t="s">
        <v>0</v>
      </c>
      <c r="F388" s="13">
        <v>1.76</v>
      </c>
      <c r="G388" s="14">
        <f t="shared" si="21"/>
        <v>1.8128</v>
      </c>
      <c r="H388" s="40">
        <v>0</v>
      </c>
      <c r="I388" s="13">
        <v>96</v>
      </c>
      <c r="J388" s="15">
        <f t="shared" si="22"/>
        <v>174.02879999999999</v>
      </c>
    </row>
    <row r="389" spans="2:10" x14ac:dyDescent="0.25">
      <c r="B389" s="32" t="s">
        <v>153</v>
      </c>
      <c r="C389" s="31" t="s">
        <v>93</v>
      </c>
      <c r="D389" s="13">
        <v>4.9000000000000004</v>
      </c>
      <c r="E389" s="13" t="s">
        <v>0</v>
      </c>
      <c r="F389" s="13">
        <v>0.6</v>
      </c>
      <c r="G389" s="14">
        <f t="shared" si="21"/>
        <v>2.94</v>
      </c>
      <c r="H389" s="40">
        <v>0</v>
      </c>
      <c r="I389" s="13">
        <v>2</v>
      </c>
      <c r="J389" s="15">
        <f t="shared" si="22"/>
        <v>5.88</v>
      </c>
    </row>
    <row r="390" spans="2:10" x14ac:dyDescent="0.25">
      <c r="B390" s="32" t="s">
        <v>181</v>
      </c>
      <c r="C390" s="31" t="s">
        <v>93</v>
      </c>
      <c r="D390" s="13">
        <v>4.5</v>
      </c>
      <c r="E390" s="13" t="s">
        <v>0</v>
      </c>
      <c r="F390" s="13">
        <v>0.6</v>
      </c>
      <c r="G390" s="14">
        <f t="shared" si="21"/>
        <v>2.6999999999999997</v>
      </c>
      <c r="H390" s="40">
        <v>0</v>
      </c>
      <c r="I390" s="13">
        <v>1</v>
      </c>
      <c r="J390" s="15">
        <f t="shared" si="22"/>
        <v>2.6999999999999997</v>
      </c>
    </row>
    <row r="391" spans="2:10" x14ac:dyDescent="0.25">
      <c r="B391" s="32" t="s">
        <v>182</v>
      </c>
      <c r="C391" s="31" t="s">
        <v>93</v>
      </c>
      <c r="D391" s="13">
        <v>4.45</v>
      </c>
      <c r="E391" s="13" t="s">
        <v>0</v>
      </c>
      <c r="F391" s="13">
        <v>0.6</v>
      </c>
      <c r="G391" s="14">
        <f t="shared" si="21"/>
        <v>2.67</v>
      </c>
      <c r="H391" s="40">
        <v>0</v>
      </c>
      <c r="I391" s="13">
        <v>1</v>
      </c>
      <c r="J391" s="15">
        <f t="shared" si="22"/>
        <v>2.67</v>
      </c>
    </row>
    <row r="392" spans="2:10" x14ac:dyDescent="0.25">
      <c r="B392" s="32" t="s">
        <v>183</v>
      </c>
      <c r="C392" s="31" t="s">
        <v>93</v>
      </c>
      <c r="D392" s="13">
        <v>1.55</v>
      </c>
      <c r="E392" s="13" t="s">
        <v>0</v>
      </c>
      <c r="F392" s="13">
        <v>0.6</v>
      </c>
      <c r="G392" s="14">
        <f t="shared" si="21"/>
        <v>0.92999999999999994</v>
      </c>
      <c r="H392" s="40">
        <v>0</v>
      </c>
      <c r="I392" s="13">
        <v>1</v>
      </c>
      <c r="J392" s="15">
        <f t="shared" si="22"/>
        <v>0.92999999999999994</v>
      </c>
    </row>
    <row r="393" spans="2:10" x14ac:dyDescent="0.25">
      <c r="B393" s="32" t="s">
        <v>184</v>
      </c>
      <c r="C393" s="31" t="s">
        <v>93</v>
      </c>
      <c r="D393" s="13">
        <v>3.45</v>
      </c>
      <c r="E393" s="13" t="s">
        <v>0</v>
      </c>
      <c r="F393" s="13">
        <v>0.6</v>
      </c>
      <c r="G393" s="14">
        <f t="shared" si="21"/>
        <v>2.0699999999999998</v>
      </c>
      <c r="H393" s="40">
        <v>0</v>
      </c>
      <c r="I393" s="13">
        <v>1</v>
      </c>
      <c r="J393" s="15">
        <f t="shared" si="22"/>
        <v>2.0699999999999998</v>
      </c>
    </row>
    <row r="394" spans="2:10" x14ac:dyDescent="0.25">
      <c r="B394" s="32" t="s">
        <v>185</v>
      </c>
      <c r="C394" s="31" t="s">
        <v>93</v>
      </c>
      <c r="D394" s="13">
        <v>2.85</v>
      </c>
      <c r="E394" s="13" t="s">
        <v>0</v>
      </c>
      <c r="F394" s="13">
        <v>0.6</v>
      </c>
      <c r="G394" s="14">
        <f t="shared" si="21"/>
        <v>1.71</v>
      </c>
      <c r="H394" s="40">
        <v>0</v>
      </c>
      <c r="I394" s="13">
        <v>1</v>
      </c>
      <c r="J394" s="15">
        <f t="shared" si="22"/>
        <v>1.71</v>
      </c>
    </row>
    <row r="396" spans="2:10" x14ac:dyDescent="0.25">
      <c r="B396" s="10" t="s">
        <v>61</v>
      </c>
      <c r="C396" s="718" t="s">
        <v>62</v>
      </c>
      <c r="D396" s="718"/>
      <c r="E396" s="718"/>
      <c r="F396" s="718"/>
      <c r="G396" s="718"/>
      <c r="H396" s="718"/>
      <c r="I396" s="718"/>
      <c r="J396" s="11"/>
    </row>
    <row r="397" spans="2:10" x14ac:dyDescent="0.25">
      <c r="B397" s="33"/>
      <c r="C397" s="34" t="s">
        <v>8</v>
      </c>
      <c r="D397" s="35"/>
      <c r="E397" s="35"/>
      <c r="F397" s="35"/>
      <c r="G397" s="36"/>
      <c r="H397" s="37"/>
      <c r="I397" s="35"/>
      <c r="J397" s="38" t="s">
        <v>0</v>
      </c>
    </row>
    <row r="398" spans="2:10" x14ac:dyDescent="0.25">
      <c r="B398" s="39" t="s">
        <v>77</v>
      </c>
      <c r="C398" s="31" t="s">
        <v>78</v>
      </c>
      <c r="D398" s="13">
        <v>0.8</v>
      </c>
      <c r="E398" s="13" t="s">
        <v>0</v>
      </c>
      <c r="F398" s="13">
        <v>2.1</v>
      </c>
      <c r="G398" s="14">
        <f>PRODUCT(D398,E398,F398)</f>
        <v>1.6800000000000002</v>
      </c>
      <c r="H398" s="40">
        <v>0</v>
      </c>
      <c r="I398" s="13">
        <v>21</v>
      </c>
      <c r="J398" s="15">
        <f>IF(G398&gt;0,G398*I398,H398*I398)</f>
        <v>35.28</v>
      </c>
    </row>
    <row r="399" spans="2:10" x14ac:dyDescent="0.25">
      <c r="B399" s="39" t="s">
        <v>79</v>
      </c>
      <c r="C399" s="31" t="s">
        <v>80</v>
      </c>
      <c r="D399" s="13">
        <v>0.9</v>
      </c>
      <c r="E399" s="13" t="s">
        <v>0</v>
      </c>
      <c r="F399" s="13">
        <f>$F$285</f>
        <v>2.1</v>
      </c>
      <c r="G399" s="14">
        <f>PRODUCT(D399,E399,F399)</f>
        <v>1.8900000000000001</v>
      </c>
      <c r="H399" s="40">
        <v>0</v>
      </c>
      <c r="I399" s="13">
        <v>4</v>
      </c>
      <c r="J399" s="15">
        <f>IF(G399&gt;0,G399*I399,H399*I399)</f>
        <v>7.5600000000000005</v>
      </c>
    </row>
    <row r="400" spans="2:10" x14ac:dyDescent="0.25">
      <c r="B400" s="39" t="s">
        <v>81</v>
      </c>
      <c r="C400" s="31" t="s">
        <v>82</v>
      </c>
      <c r="D400" s="13">
        <v>1.6</v>
      </c>
      <c r="E400" s="13" t="s">
        <v>0</v>
      </c>
      <c r="F400" s="13">
        <f>$F$285</f>
        <v>2.1</v>
      </c>
      <c r="G400" s="14">
        <f>PRODUCT(D400,E400,F400)</f>
        <v>3.3600000000000003</v>
      </c>
      <c r="H400" s="40">
        <v>0</v>
      </c>
      <c r="I400" s="13">
        <v>5</v>
      </c>
      <c r="J400" s="15">
        <f>IF(G400&gt;0,G400*I400,H400*I400)</f>
        <v>16.8</v>
      </c>
    </row>
    <row r="401" spans="2:10" x14ac:dyDescent="0.25">
      <c r="B401" s="39" t="s">
        <v>155</v>
      </c>
      <c r="C401" s="31" t="s">
        <v>82</v>
      </c>
      <c r="D401" s="13">
        <v>1.2</v>
      </c>
      <c r="E401" s="13" t="s">
        <v>0</v>
      </c>
      <c r="F401" s="13">
        <f>$F$285</f>
        <v>2.1</v>
      </c>
      <c r="G401" s="14">
        <f>PRODUCT(D401,E401,F401)</f>
        <v>2.52</v>
      </c>
      <c r="H401" s="40">
        <v>0</v>
      </c>
      <c r="I401" s="13">
        <v>1</v>
      </c>
      <c r="J401" s="15">
        <f>IF(G401&gt;0,G401*I401,H401*I401)</f>
        <v>2.52</v>
      </c>
    </row>
    <row r="402" spans="2:10" x14ac:dyDescent="0.25">
      <c r="B402" s="39" t="s">
        <v>84</v>
      </c>
      <c r="C402" s="31" t="s">
        <v>85</v>
      </c>
      <c r="D402" s="13">
        <v>1</v>
      </c>
      <c r="E402" s="13" t="s">
        <v>0</v>
      </c>
      <c r="F402" s="13">
        <f>$F$285</f>
        <v>2.1</v>
      </c>
      <c r="G402" s="14">
        <f>PRODUCT(D402,E402,F402)</f>
        <v>2.1</v>
      </c>
      <c r="H402" s="40">
        <v>0</v>
      </c>
      <c r="I402" s="13">
        <v>9</v>
      </c>
      <c r="J402" s="15">
        <f>IF(G402&gt;0,G402*I402,H402*I402)</f>
        <v>18.900000000000002</v>
      </c>
    </row>
    <row r="403" spans="2:10" x14ac:dyDescent="0.25">
      <c r="B403" s="33"/>
      <c r="C403" s="34" t="s">
        <v>25</v>
      </c>
      <c r="D403" s="35"/>
      <c r="E403" s="35"/>
      <c r="F403" s="35"/>
      <c r="G403" s="36"/>
      <c r="H403" s="37"/>
      <c r="I403" s="35"/>
      <c r="J403" s="38"/>
    </row>
    <row r="404" spans="2:10" x14ac:dyDescent="0.25">
      <c r="B404" s="126" t="s">
        <v>88</v>
      </c>
      <c r="C404" s="31" t="s">
        <v>89</v>
      </c>
      <c r="D404" s="13">
        <v>0.6</v>
      </c>
      <c r="E404" s="13" t="s">
        <v>0</v>
      </c>
      <c r="F404" s="13">
        <v>1.8</v>
      </c>
      <c r="G404" s="14">
        <f>PRODUCT(D404,E404,F404)</f>
        <v>1.08</v>
      </c>
      <c r="H404" s="40">
        <v>0</v>
      </c>
      <c r="I404" s="13">
        <v>10</v>
      </c>
      <c r="J404" s="15">
        <f>IF(G404&gt;0,G404*I404,H404*I404)</f>
        <v>10.8</v>
      </c>
    </row>
    <row r="405" spans="2:10" x14ac:dyDescent="0.25">
      <c r="B405" s="33"/>
      <c r="C405" s="34" t="s">
        <v>31</v>
      </c>
      <c r="D405" s="35"/>
      <c r="E405" s="35"/>
      <c r="F405" s="35" t="s">
        <v>0</v>
      </c>
      <c r="G405" s="36"/>
      <c r="H405" s="37"/>
      <c r="I405" s="35"/>
      <c r="J405" s="38" t="s">
        <v>0</v>
      </c>
    </row>
    <row r="406" spans="2:10" x14ac:dyDescent="0.25">
      <c r="B406" s="32" t="s">
        <v>149</v>
      </c>
      <c r="C406" s="31" t="s">
        <v>93</v>
      </c>
      <c r="D406" s="13">
        <v>4</v>
      </c>
      <c r="E406" s="13" t="s">
        <v>0</v>
      </c>
      <c r="F406" s="13">
        <v>0.6</v>
      </c>
      <c r="G406" s="14">
        <f t="shared" ref="G406:G411" si="23">PRODUCT(D406,E406,F406)</f>
        <v>2.4</v>
      </c>
      <c r="H406" s="40">
        <v>0</v>
      </c>
      <c r="I406" s="13">
        <v>2</v>
      </c>
      <c r="J406" s="15">
        <f t="shared" ref="J406:J411" si="24">IF(G406&gt;0,G406*I406,H406*I406)</f>
        <v>4.8</v>
      </c>
    </row>
    <row r="407" spans="2:10" x14ac:dyDescent="0.25">
      <c r="B407" s="32" t="s">
        <v>150</v>
      </c>
      <c r="C407" s="31" t="s">
        <v>93</v>
      </c>
      <c r="D407" s="13">
        <v>4.6500000000000004</v>
      </c>
      <c r="E407" s="13" t="s">
        <v>0</v>
      </c>
      <c r="F407" s="13">
        <v>0.6</v>
      </c>
      <c r="G407" s="14">
        <f t="shared" si="23"/>
        <v>2.79</v>
      </c>
      <c r="H407" s="40">
        <v>0</v>
      </c>
      <c r="I407" s="13">
        <v>2</v>
      </c>
      <c r="J407" s="15">
        <f t="shared" si="24"/>
        <v>5.58</v>
      </c>
    </row>
    <row r="408" spans="2:10" x14ac:dyDescent="0.25">
      <c r="B408" s="32" t="s">
        <v>186</v>
      </c>
      <c r="C408" s="31" t="s">
        <v>93</v>
      </c>
      <c r="D408" s="13">
        <v>3.25</v>
      </c>
      <c r="E408" s="13" t="s">
        <v>0</v>
      </c>
      <c r="F408" s="13">
        <v>0.6</v>
      </c>
      <c r="G408" s="14">
        <f t="shared" si="23"/>
        <v>1.95</v>
      </c>
      <c r="H408" s="40">
        <v>0</v>
      </c>
      <c r="I408" s="13">
        <v>4</v>
      </c>
      <c r="J408" s="15">
        <f t="shared" si="24"/>
        <v>7.8</v>
      </c>
    </row>
    <row r="409" spans="2:10" x14ac:dyDescent="0.25">
      <c r="B409" s="32" t="s">
        <v>187</v>
      </c>
      <c r="C409" s="31" t="s">
        <v>93</v>
      </c>
      <c r="D409" s="13">
        <v>3.5</v>
      </c>
      <c r="E409" s="13" t="s">
        <v>0</v>
      </c>
      <c r="F409" s="13">
        <v>0.6</v>
      </c>
      <c r="G409" s="14">
        <f t="shared" si="23"/>
        <v>2.1</v>
      </c>
      <c r="H409" s="40">
        <v>0</v>
      </c>
      <c r="I409" s="13">
        <v>1</v>
      </c>
      <c r="J409" s="15">
        <f t="shared" si="24"/>
        <v>2.1</v>
      </c>
    </row>
    <row r="410" spans="2:10" x14ac:dyDescent="0.25">
      <c r="B410" s="32" t="s">
        <v>188</v>
      </c>
      <c r="C410" s="31" t="s">
        <v>93</v>
      </c>
      <c r="D410" s="13">
        <v>9.8000000000000007</v>
      </c>
      <c r="E410" s="13" t="s">
        <v>0</v>
      </c>
      <c r="F410" s="13">
        <v>0.6</v>
      </c>
      <c r="G410" s="14">
        <f t="shared" si="23"/>
        <v>5.88</v>
      </c>
      <c r="H410" s="40">
        <v>0</v>
      </c>
      <c r="I410" s="13">
        <v>1</v>
      </c>
      <c r="J410" s="15">
        <f t="shared" si="24"/>
        <v>5.88</v>
      </c>
    </row>
    <row r="411" spans="2:10" x14ac:dyDescent="0.25">
      <c r="B411" s="32" t="s">
        <v>154</v>
      </c>
      <c r="C411" s="31" t="s">
        <v>93</v>
      </c>
      <c r="D411" s="13">
        <v>1.03</v>
      </c>
      <c r="E411" s="13" t="s">
        <v>0</v>
      </c>
      <c r="F411" s="13">
        <v>1.76</v>
      </c>
      <c r="G411" s="14">
        <f t="shared" si="23"/>
        <v>1.8128</v>
      </c>
      <c r="H411" s="40">
        <v>0</v>
      </c>
      <c r="I411" s="13">
        <v>96</v>
      </c>
      <c r="J411" s="15">
        <f t="shared" si="24"/>
        <v>174.02879999999999</v>
      </c>
    </row>
    <row r="412" spans="2:10" x14ac:dyDescent="0.25">
      <c r="B412" s="33"/>
      <c r="C412" s="34" t="s">
        <v>38</v>
      </c>
      <c r="D412" s="35"/>
      <c r="E412" s="35"/>
      <c r="F412" s="35"/>
      <c r="G412" s="36"/>
      <c r="H412" s="37"/>
      <c r="I412" s="35"/>
      <c r="J412" s="38" t="s">
        <v>0</v>
      </c>
    </row>
    <row r="413" spans="2:10" x14ac:dyDescent="0.25">
      <c r="B413" s="32" t="s">
        <v>189</v>
      </c>
      <c r="C413" s="31" t="s">
        <v>190</v>
      </c>
      <c r="D413" s="13">
        <v>1.5</v>
      </c>
      <c r="E413" s="13" t="s">
        <v>0</v>
      </c>
      <c r="F413" s="13">
        <v>1.1000000000000001</v>
      </c>
      <c r="G413" s="14">
        <f>PRODUCT(D413,E413,F413)</f>
        <v>1.6500000000000001</v>
      </c>
      <c r="H413" s="40">
        <v>0</v>
      </c>
      <c r="I413" s="13">
        <v>1</v>
      </c>
      <c r="J413" s="15">
        <f>IF(G413&gt;0,G413*I413,H413*I413)</f>
        <v>1.6500000000000001</v>
      </c>
    </row>
    <row r="415" spans="2:10" x14ac:dyDescent="0.25">
      <c r="B415" s="10" t="s">
        <v>63</v>
      </c>
      <c r="C415" s="718" t="s">
        <v>191</v>
      </c>
      <c r="D415" s="718"/>
      <c r="E415" s="718"/>
      <c r="F415" s="718"/>
      <c r="G415" s="718"/>
      <c r="H415" s="718"/>
      <c r="I415" s="718"/>
      <c r="J415" s="11"/>
    </row>
    <row r="416" spans="2:10" x14ac:dyDescent="0.25">
      <c r="B416" s="33"/>
      <c r="C416" s="34" t="s">
        <v>8</v>
      </c>
      <c r="D416" s="35"/>
      <c r="E416" s="35"/>
      <c r="F416" s="35"/>
      <c r="G416" s="36"/>
      <c r="H416" s="37"/>
      <c r="I416" s="35"/>
      <c r="J416" s="38" t="s">
        <v>0</v>
      </c>
    </row>
    <row r="417" spans="2:10" x14ac:dyDescent="0.25">
      <c r="B417" s="39" t="s">
        <v>81</v>
      </c>
      <c r="C417" s="31" t="s">
        <v>82</v>
      </c>
      <c r="D417" s="13">
        <v>1.6</v>
      </c>
      <c r="E417" s="13" t="s">
        <v>0</v>
      </c>
      <c r="F417" s="13">
        <f>$F$285</f>
        <v>2.1</v>
      </c>
      <c r="G417" s="14">
        <f>PRODUCT(D417,E417,F417)</f>
        <v>3.3600000000000003</v>
      </c>
      <c r="H417" s="40">
        <v>0</v>
      </c>
      <c r="I417" s="13">
        <v>1</v>
      </c>
      <c r="J417" s="15">
        <f>IF(G417&gt;0,G417*I417,H417*I417)</f>
        <v>3.3600000000000003</v>
      </c>
    </row>
    <row r="418" spans="2:10" x14ac:dyDescent="0.25">
      <c r="B418" s="33"/>
      <c r="C418" s="34" t="s">
        <v>31</v>
      </c>
      <c r="D418" s="35"/>
      <c r="E418" s="35"/>
      <c r="F418" s="35" t="s">
        <v>0</v>
      </c>
      <c r="G418" s="36"/>
      <c r="H418" s="37"/>
      <c r="I418" s="35"/>
      <c r="J418" s="38" t="s">
        <v>0</v>
      </c>
    </row>
    <row r="419" spans="2:10" x14ac:dyDescent="0.25">
      <c r="B419" s="32" t="s">
        <v>149</v>
      </c>
      <c r="C419" s="31" t="s">
        <v>93</v>
      </c>
      <c r="D419" s="13">
        <v>4</v>
      </c>
      <c r="E419" s="13" t="s">
        <v>0</v>
      </c>
      <c r="F419" s="13">
        <v>0.6</v>
      </c>
      <c r="G419" s="14">
        <f>PRODUCT(D419,E419,F419)</f>
        <v>2.4</v>
      </c>
      <c r="H419" s="40">
        <v>0</v>
      </c>
      <c r="I419" s="13">
        <v>2</v>
      </c>
      <c r="J419" s="15">
        <f>IF(G419&gt;0,G419*I419,H419*I419)</f>
        <v>4.8</v>
      </c>
    </row>
    <row r="420" spans="2:10" x14ac:dyDescent="0.25">
      <c r="D420" s="13" t="s">
        <v>0</v>
      </c>
      <c r="I420" s="76">
        <f>SUM(I216:I419)</f>
        <v>1185</v>
      </c>
    </row>
    <row r="421" spans="2:10" x14ac:dyDescent="0.25">
      <c r="B421" s="10" t="s">
        <v>192</v>
      </c>
      <c r="C421" s="718" t="s">
        <v>193</v>
      </c>
      <c r="D421" s="718"/>
      <c r="E421" s="718"/>
      <c r="F421" s="718"/>
      <c r="G421" s="718"/>
      <c r="H421" s="718"/>
      <c r="I421" s="718"/>
    </row>
    <row r="422" spans="2:10" x14ac:dyDescent="0.25">
      <c r="B422" s="102" t="s">
        <v>194</v>
      </c>
      <c r="C422" s="102" t="s">
        <v>195</v>
      </c>
      <c r="D422" s="103" t="s">
        <v>196</v>
      </c>
      <c r="E422" s="102" t="s">
        <v>197</v>
      </c>
      <c r="F422" s="102" t="s">
        <v>73</v>
      </c>
      <c r="G422" s="102" t="s">
        <v>198</v>
      </c>
      <c r="H422" s="102" t="s">
        <v>199</v>
      </c>
    </row>
    <row r="423" spans="2:10" x14ac:dyDescent="0.25">
      <c r="B423" s="104" t="s">
        <v>200</v>
      </c>
      <c r="C423" s="105"/>
      <c r="D423" s="106"/>
      <c r="E423" s="107"/>
      <c r="F423" s="107"/>
      <c r="G423" s="105"/>
      <c r="H423" s="105"/>
    </row>
    <row r="424" spans="2:10" x14ac:dyDescent="0.25">
      <c r="B424" s="122"/>
      <c r="C424" s="122" t="s">
        <v>8</v>
      </c>
      <c r="D424" s="123"/>
      <c r="E424" s="114"/>
      <c r="F424" s="114"/>
      <c r="G424" s="115"/>
      <c r="H424" s="115"/>
    </row>
    <row r="425" spans="2:10" x14ac:dyDescent="0.25">
      <c r="B425" s="108" t="s">
        <v>201</v>
      </c>
      <c r="C425" s="108" t="s">
        <v>202</v>
      </c>
      <c r="D425" s="109" t="s">
        <v>203</v>
      </c>
      <c r="E425" s="108" t="s">
        <v>204</v>
      </c>
      <c r="F425" s="108">
        <v>1</v>
      </c>
      <c r="G425" s="110">
        <f>1.6*2.5</f>
        <v>4</v>
      </c>
      <c r="H425" s="110">
        <f t="shared" ref="H425:H432" si="25">G425*F425</f>
        <v>4</v>
      </c>
    </row>
    <row r="426" spans="2:10" x14ac:dyDescent="0.25">
      <c r="B426" s="108" t="s">
        <v>205</v>
      </c>
      <c r="C426" s="108" t="s">
        <v>206</v>
      </c>
      <c r="D426" s="108" t="s">
        <v>207</v>
      </c>
      <c r="E426" s="108" t="s">
        <v>208</v>
      </c>
      <c r="F426" s="108">
        <v>11</v>
      </c>
      <c r="G426" s="110">
        <f>0.8*2.1</f>
        <v>1.6800000000000002</v>
      </c>
      <c r="H426" s="110">
        <f t="shared" si="25"/>
        <v>18.48</v>
      </c>
    </row>
    <row r="427" spans="2:10" x14ac:dyDescent="0.25">
      <c r="B427" s="108" t="s">
        <v>209</v>
      </c>
      <c r="C427" s="108" t="s">
        <v>206</v>
      </c>
      <c r="D427" s="109" t="s">
        <v>210</v>
      </c>
      <c r="E427" s="108" t="s">
        <v>211</v>
      </c>
      <c r="F427" s="108">
        <v>6</v>
      </c>
      <c r="G427" s="110">
        <f>1.1*2.1</f>
        <v>2.3100000000000005</v>
      </c>
      <c r="H427" s="110">
        <f t="shared" si="25"/>
        <v>13.860000000000003</v>
      </c>
    </row>
    <row r="428" spans="2:10" x14ac:dyDescent="0.25">
      <c r="B428" s="108" t="s">
        <v>212</v>
      </c>
      <c r="C428" s="108" t="s">
        <v>202</v>
      </c>
      <c r="D428" s="109" t="s">
        <v>203</v>
      </c>
      <c r="E428" s="108" t="s">
        <v>213</v>
      </c>
      <c r="F428" s="108">
        <v>5</v>
      </c>
      <c r="G428" s="110">
        <f>2*2.1</f>
        <v>4.2</v>
      </c>
      <c r="H428" s="110">
        <f t="shared" si="25"/>
        <v>21</v>
      </c>
    </row>
    <row r="429" spans="2:10" x14ac:dyDescent="0.25">
      <c r="B429" s="108" t="s">
        <v>214</v>
      </c>
      <c r="C429" s="108" t="s">
        <v>206</v>
      </c>
      <c r="D429" s="109" t="s">
        <v>210</v>
      </c>
      <c r="E429" s="108" t="s">
        <v>208</v>
      </c>
      <c r="F429" s="108">
        <v>1</v>
      </c>
      <c r="G429" s="110">
        <f>0.8*2.1</f>
        <v>1.6800000000000002</v>
      </c>
      <c r="H429" s="110">
        <f t="shared" si="25"/>
        <v>1.6800000000000002</v>
      </c>
    </row>
    <row r="430" spans="2:10" x14ac:dyDescent="0.25">
      <c r="B430" s="108" t="s">
        <v>215</v>
      </c>
      <c r="C430" s="108" t="s">
        <v>206</v>
      </c>
      <c r="D430" s="109" t="s">
        <v>216</v>
      </c>
      <c r="E430" s="108" t="s">
        <v>217</v>
      </c>
      <c r="F430" s="108">
        <v>2</v>
      </c>
      <c r="G430" s="110">
        <f>0.7*2.1</f>
        <v>1.47</v>
      </c>
      <c r="H430" s="110">
        <f t="shared" si="25"/>
        <v>2.94</v>
      </c>
    </row>
    <row r="431" spans="2:10" x14ac:dyDescent="0.25">
      <c r="B431" s="108" t="s">
        <v>218</v>
      </c>
      <c r="C431" s="108" t="s">
        <v>206</v>
      </c>
      <c r="D431" s="109" t="s">
        <v>216</v>
      </c>
      <c r="E431" s="108" t="s">
        <v>219</v>
      </c>
      <c r="F431" s="108">
        <v>2</v>
      </c>
      <c r="G431" s="110">
        <f>0.6*2.1</f>
        <v>1.26</v>
      </c>
      <c r="H431" s="110">
        <f t="shared" si="25"/>
        <v>2.52</v>
      </c>
    </row>
    <row r="432" spans="2:10" x14ac:dyDescent="0.25">
      <c r="B432" s="108" t="s">
        <v>220</v>
      </c>
      <c r="C432" s="108" t="s">
        <v>202</v>
      </c>
      <c r="D432" s="109" t="s">
        <v>210</v>
      </c>
      <c r="E432" s="108" t="s">
        <v>208</v>
      </c>
      <c r="F432" s="108">
        <v>1</v>
      </c>
      <c r="G432" s="110">
        <f>0.8*2.1</f>
        <v>1.6800000000000002</v>
      </c>
      <c r="H432" s="110">
        <f t="shared" si="25"/>
        <v>1.6800000000000002</v>
      </c>
    </row>
    <row r="433" spans="2:8" x14ac:dyDescent="0.25">
      <c r="B433" s="108"/>
      <c r="C433" s="122" t="s">
        <v>31</v>
      </c>
      <c r="D433" s="109"/>
      <c r="E433" s="108"/>
      <c r="F433" s="108"/>
      <c r="G433" s="110"/>
      <c r="H433" s="110"/>
    </row>
    <row r="434" spans="2:8" x14ac:dyDescent="0.25">
      <c r="B434" s="108" t="s">
        <v>221</v>
      </c>
      <c r="C434" s="108" t="s">
        <v>222</v>
      </c>
      <c r="D434" s="109" t="s">
        <v>223</v>
      </c>
      <c r="E434" s="108" t="s">
        <v>224</v>
      </c>
      <c r="F434" s="108">
        <v>2</v>
      </c>
      <c r="G434" s="110">
        <f>1.5*1.5*1</f>
        <v>2.25</v>
      </c>
      <c r="H434" s="110">
        <f t="shared" ref="H434:H439" si="26">G434*F434</f>
        <v>4.5</v>
      </c>
    </row>
    <row r="435" spans="2:8" x14ac:dyDescent="0.25">
      <c r="B435" s="108" t="s">
        <v>225</v>
      </c>
      <c r="C435" s="108" t="s">
        <v>222</v>
      </c>
      <c r="D435" s="109" t="s">
        <v>216</v>
      </c>
      <c r="E435" s="108" t="s">
        <v>226</v>
      </c>
      <c r="F435" s="108">
        <v>3</v>
      </c>
      <c r="G435" s="110">
        <f>0.7*2*0.5</f>
        <v>0.7</v>
      </c>
      <c r="H435" s="110">
        <f t="shared" si="26"/>
        <v>2.0999999999999996</v>
      </c>
    </row>
    <row r="436" spans="2:8" x14ac:dyDescent="0.25">
      <c r="B436" s="108" t="s">
        <v>227</v>
      </c>
      <c r="C436" s="108" t="s">
        <v>222</v>
      </c>
      <c r="D436" s="109" t="s">
        <v>203</v>
      </c>
      <c r="E436" s="108" t="s">
        <v>228</v>
      </c>
      <c r="F436" s="108">
        <v>5</v>
      </c>
      <c r="G436" s="110">
        <f>1*0.5*1.6</f>
        <v>0.8</v>
      </c>
      <c r="H436" s="110">
        <f t="shared" si="26"/>
        <v>4</v>
      </c>
    </row>
    <row r="437" spans="2:8" x14ac:dyDescent="0.25">
      <c r="B437" s="108" t="s">
        <v>229</v>
      </c>
      <c r="C437" s="108" t="s">
        <v>222</v>
      </c>
      <c r="D437" s="109" t="s">
        <v>203</v>
      </c>
      <c r="E437" s="108" t="s">
        <v>230</v>
      </c>
      <c r="F437" s="108">
        <v>1</v>
      </c>
      <c r="G437" s="110">
        <f>0.8*0.8*1.3</f>
        <v>0.83200000000000018</v>
      </c>
      <c r="H437" s="110">
        <f t="shared" si="26"/>
        <v>0.83200000000000018</v>
      </c>
    </row>
    <row r="438" spans="2:8" x14ac:dyDescent="0.25">
      <c r="B438" s="108" t="s">
        <v>231</v>
      </c>
      <c r="C438" s="108" t="s">
        <v>222</v>
      </c>
      <c r="D438" s="109" t="s">
        <v>203</v>
      </c>
      <c r="E438" s="108" t="s">
        <v>232</v>
      </c>
      <c r="F438" s="108">
        <v>4</v>
      </c>
      <c r="G438" s="110">
        <f>0.9*0.6*1.5</f>
        <v>0.81</v>
      </c>
      <c r="H438" s="110">
        <f t="shared" si="26"/>
        <v>3.24</v>
      </c>
    </row>
    <row r="439" spans="2:8" x14ac:dyDescent="0.25">
      <c r="B439" s="108" t="s">
        <v>233</v>
      </c>
      <c r="C439" s="108" t="s">
        <v>222</v>
      </c>
      <c r="D439" s="109" t="s">
        <v>223</v>
      </c>
      <c r="E439" s="108" t="s">
        <v>234</v>
      </c>
      <c r="F439" s="108">
        <v>2</v>
      </c>
      <c r="G439" s="110">
        <f>1.2*1.1*1</f>
        <v>1.32</v>
      </c>
      <c r="H439" s="110">
        <f t="shared" si="26"/>
        <v>2.64</v>
      </c>
    </row>
    <row r="440" spans="2:8" x14ac:dyDescent="0.25">
      <c r="B440" s="111"/>
      <c r="C440" s="111"/>
      <c r="D440" s="111"/>
      <c r="E440" s="111"/>
      <c r="F440" s="108"/>
      <c r="G440" s="116"/>
      <c r="H440" s="112">
        <f>H425+H426+H427+H428+H429+H430+H431+H432+H434+H435+H436+H437+H438+H439</f>
        <v>83.471999999999994</v>
      </c>
    </row>
    <row r="441" spans="2:8" x14ac:dyDescent="0.25">
      <c r="B441" s="113" t="s">
        <v>235</v>
      </c>
      <c r="C441" s="107"/>
      <c r="D441" s="105"/>
      <c r="E441" s="107"/>
      <c r="F441" s="107"/>
      <c r="G441" s="117"/>
      <c r="H441" s="118"/>
    </row>
    <row r="442" spans="2:8" x14ac:dyDescent="0.25">
      <c r="B442" s="113"/>
      <c r="C442" s="107"/>
      <c r="D442" s="105"/>
      <c r="E442" s="107"/>
      <c r="F442" s="107"/>
      <c r="G442" s="117"/>
      <c r="H442" s="118"/>
    </row>
    <row r="443" spans="2:8" x14ac:dyDescent="0.25">
      <c r="B443" s="111"/>
      <c r="C443" s="114" t="s">
        <v>236</v>
      </c>
      <c r="D443" s="115"/>
      <c r="E443" s="114" t="s">
        <v>237</v>
      </c>
      <c r="F443" s="114"/>
      <c r="G443" s="119">
        <v>103.86</v>
      </c>
      <c r="H443" s="120"/>
    </row>
    <row r="444" spans="2:8" x14ac:dyDescent="0.25">
      <c r="B444" s="104" t="s">
        <v>238</v>
      </c>
      <c r="C444" s="105"/>
      <c r="D444" s="105"/>
      <c r="E444" s="105"/>
      <c r="F444" s="107"/>
      <c r="G444" s="118"/>
      <c r="H444" s="118"/>
    </row>
    <row r="445" spans="2:8" x14ac:dyDescent="0.25">
      <c r="B445" s="122"/>
      <c r="C445" s="122" t="s">
        <v>8</v>
      </c>
      <c r="D445" s="123"/>
      <c r="E445" s="114"/>
      <c r="F445" s="114"/>
      <c r="G445" s="115"/>
      <c r="H445" s="115"/>
    </row>
    <row r="446" spans="2:8" x14ac:dyDescent="0.25">
      <c r="B446" s="108" t="s">
        <v>201</v>
      </c>
      <c r="C446" s="108" t="s">
        <v>202</v>
      </c>
      <c r="D446" s="111" t="s">
        <v>239</v>
      </c>
      <c r="E446" s="108" t="s">
        <v>204</v>
      </c>
      <c r="F446" s="108">
        <v>1</v>
      </c>
      <c r="G446" s="116">
        <f>1.6*2.5</f>
        <v>4</v>
      </c>
      <c r="H446" s="116">
        <f t="shared" ref="H446:H451" si="27">G446*F446</f>
        <v>4</v>
      </c>
    </row>
    <row r="447" spans="2:8" x14ac:dyDescent="0.25">
      <c r="B447" s="108" t="s">
        <v>205</v>
      </c>
      <c r="C447" s="108" t="s">
        <v>206</v>
      </c>
      <c r="D447" s="111" t="s">
        <v>239</v>
      </c>
      <c r="E447" s="108" t="s">
        <v>240</v>
      </c>
      <c r="F447" s="108">
        <v>1</v>
      </c>
      <c r="G447" s="116">
        <f>1.6*2.1</f>
        <v>3.3600000000000003</v>
      </c>
      <c r="H447" s="116">
        <f t="shared" si="27"/>
        <v>3.3600000000000003</v>
      </c>
    </row>
    <row r="448" spans="2:8" x14ac:dyDescent="0.25">
      <c r="B448" s="108" t="s">
        <v>209</v>
      </c>
      <c r="C448" s="108" t="s">
        <v>206</v>
      </c>
      <c r="D448" s="108" t="s">
        <v>216</v>
      </c>
      <c r="E448" s="108" t="s">
        <v>241</v>
      </c>
      <c r="F448" s="108">
        <v>2</v>
      </c>
      <c r="G448" s="116">
        <f>0.9*2.1</f>
        <v>1.8900000000000001</v>
      </c>
      <c r="H448" s="116">
        <f t="shared" si="27"/>
        <v>3.7800000000000002</v>
      </c>
    </row>
    <row r="449" spans="2:8" x14ac:dyDescent="0.25">
      <c r="B449" s="108" t="s">
        <v>212</v>
      </c>
      <c r="C449" s="108" t="s">
        <v>242</v>
      </c>
      <c r="D449" s="108" t="s">
        <v>216</v>
      </c>
      <c r="E449" s="108" t="s">
        <v>213</v>
      </c>
      <c r="F449" s="108">
        <v>2</v>
      </c>
      <c r="G449" s="116">
        <f>2*2.1</f>
        <v>4.2</v>
      </c>
      <c r="H449" s="116">
        <f t="shared" si="27"/>
        <v>8.4</v>
      </c>
    </row>
    <row r="450" spans="2:8" x14ac:dyDescent="0.25">
      <c r="B450" s="108" t="s">
        <v>214</v>
      </c>
      <c r="C450" s="108" t="s">
        <v>243</v>
      </c>
      <c r="D450" s="108" t="s">
        <v>216</v>
      </c>
      <c r="E450" s="108" t="s">
        <v>241</v>
      </c>
      <c r="F450" s="108">
        <v>1</v>
      </c>
      <c r="G450" s="116">
        <f>0.9*2.1</f>
        <v>1.8900000000000001</v>
      </c>
      <c r="H450" s="116">
        <f t="shared" si="27"/>
        <v>1.8900000000000001</v>
      </c>
    </row>
    <row r="451" spans="2:8" x14ac:dyDescent="0.25">
      <c r="B451" s="108" t="s">
        <v>215</v>
      </c>
      <c r="C451" s="108" t="s">
        <v>244</v>
      </c>
      <c r="D451" s="108" t="s">
        <v>216</v>
      </c>
      <c r="E451" s="108" t="s">
        <v>245</v>
      </c>
      <c r="F451" s="108">
        <v>2</v>
      </c>
      <c r="G451" s="116">
        <f>1*2.1</f>
        <v>2.1</v>
      </c>
      <c r="H451" s="116">
        <f t="shared" si="27"/>
        <v>4.2</v>
      </c>
    </row>
    <row r="452" spans="2:8" x14ac:dyDescent="0.25">
      <c r="B452" s="108"/>
      <c r="C452" s="122" t="s">
        <v>31</v>
      </c>
      <c r="D452" s="108"/>
      <c r="E452" s="108"/>
      <c r="F452" s="108"/>
      <c r="G452" s="116"/>
      <c r="H452" s="116"/>
    </row>
    <row r="453" spans="2:8" x14ac:dyDescent="0.25">
      <c r="B453" s="108" t="s">
        <v>221</v>
      </c>
      <c r="C453" s="108" t="s">
        <v>246</v>
      </c>
      <c r="D453" s="108" t="s">
        <v>247</v>
      </c>
      <c r="E453" s="108" t="s">
        <v>248</v>
      </c>
      <c r="F453" s="108">
        <v>1</v>
      </c>
      <c r="G453" s="116">
        <f>3.35*1.1*1</f>
        <v>3.6850000000000005</v>
      </c>
      <c r="H453" s="116">
        <f>G453*F453</f>
        <v>3.6850000000000005</v>
      </c>
    </row>
    <row r="454" spans="2:8" x14ac:dyDescent="0.25">
      <c r="B454" s="108" t="s">
        <v>225</v>
      </c>
      <c r="C454" s="108" t="s">
        <v>246</v>
      </c>
      <c r="D454" s="108" t="s">
        <v>249</v>
      </c>
      <c r="E454" s="108" t="s">
        <v>250</v>
      </c>
      <c r="F454" s="108">
        <v>1</v>
      </c>
      <c r="G454" s="116">
        <f>5.6*1.1*1</f>
        <v>6.16</v>
      </c>
      <c r="H454" s="116">
        <f>G454*F454</f>
        <v>6.16</v>
      </c>
    </row>
    <row r="455" spans="2:8" x14ac:dyDescent="0.25">
      <c r="B455" s="108" t="s">
        <v>227</v>
      </c>
      <c r="C455" s="108" t="s">
        <v>246</v>
      </c>
      <c r="D455" s="108" t="s">
        <v>251</v>
      </c>
      <c r="E455" s="108" t="s">
        <v>252</v>
      </c>
      <c r="F455" s="108">
        <v>3</v>
      </c>
      <c r="G455" s="116">
        <f>1.6*0.5*1.6</f>
        <v>1.2800000000000002</v>
      </c>
      <c r="H455" s="116">
        <f>G455*F455</f>
        <v>3.8400000000000007</v>
      </c>
    </row>
    <row r="456" spans="2:8" x14ac:dyDescent="0.25">
      <c r="B456" s="111"/>
      <c r="C456" s="111"/>
      <c r="D456" s="111"/>
      <c r="E456" s="111"/>
      <c r="F456" s="108"/>
      <c r="G456" s="116"/>
      <c r="H456" s="121">
        <f>SUM(H446:H455)</f>
        <v>39.314999999999998</v>
      </c>
    </row>
    <row r="457" spans="2:8" x14ac:dyDescent="0.25">
      <c r="B457" s="113" t="s">
        <v>253</v>
      </c>
      <c r="C457" s="105"/>
      <c r="D457" s="105"/>
      <c r="E457" s="105"/>
      <c r="F457" s="107"/>
      <c r="G457" s="118"/>
      <c r="H457" s="118"/>
    </row>
    <row r="458" spans="2:8" x14ac:dyDescent="0.25">
      <c r="B458" s="122"/>
      <c r="C458" s="122" t="s">
        <v>8</v>
      </c>
      <c r="D458" s="123"/>
      <c r="E458" s="114"/>
      <c r="F458" s="114"/>
      <c r="G458" s="115"/>
      <c r="H458" s="115"/>
    </row>
    <row r="459" spans="2:8" x14ac:dyDescent="0.25">
      <c r="B459" s="108" t="s">
        <v>201</v>
      </c>
      <c r="C459" s="108" t="s">
        <v>254</v>
      </c>
      <c r="D459" s="108" t="s">
        <v>216</v>
      </c>
      <c r="E459" s="108" t="s">
        <v>255</v>
      </c>
      <c r="F459" s="108">
        <v>3</v>
      </c>
      <c r="G459" s="116">
        <f>0.9*2.5</f>
        <v>2.25</v>
      </c>
      <c r="H459" s="116">
        <f>G459*F459</f>
        <v>6.75</v>
      </c>
    </row>
    <row r="460" spans="2:8" x14ac:dyDescent="0.25">
      <c r="B460" s="108" t="s">
        <v>205</v>
      </c>
      <c r="C460" s="108" t="s">
        <v>256</v>
      </c>
      <c r="D460" s="108" t="s">
        <v>257</v>
      </c>
      <c r="E460" s="108" t="s">
        <v>258</v>
      </c>
      <c r="F460" s="108">
        <v>2</v>
      </c>
      <c r="G460" s="116">
        <f>2*2.5</f>
        <v>5</v>
      </c>
      <c r="H460" s="116">
        <f>G460*F460</f>
        <v>10</v>
      </c>
    </row>
    <row r="461" spans="2:8" x14ac:dyDescent="0.25">
      <c r="B461" s="108" t="s">
        <v>209</v>
      </c>
      <c r="C461" s="108" t="s">
        <v>256</v>
      </c>
      <c r="D461" s="108" t="s">
        <v>257</v>
      </c>
      <c r="E461" s="108" t="s">
        <v>259</v>
      </c>
      <c r="F461" s="108">
        <v>1</v>
      </c>
      <c r="G461" s="116">
        <f>1.3*2.5</f>
        <v>3.25</v>
      </c>
      <c r="H461" s="116">
        <f>G461*F461</f>
        <v>3.25</v>
      </c>
    </row>
    <row r="462" spans="2:8" x14ac:dyDescent="0.25">
      <c r="B462" s="108"/>
      <c r="C462" s="122" t="s">
        <v>260</v>
      </c>
      <c r="D462" s="108"/>
      <c r="E462" s="108"/>
      <c r="F462" s="108"/>
      <c r="G462" s="116"/>
      <c r="H462" s="116"/>
    </row>
    <row r="463" spans="2:8" x14ac:dyDescent="0.25">
      <c r="B463" s="108" t="s">
        <v>261</v>
      </c>
      <c r="C463" s="108" t="s">
        <v>256</v>
      </c>
      <c r="D463" s="108" t="s">
        <v>262</v>
      </c>
      <c r="E463" s="108" t="s">
        <v>263</v>
      </c>
      <c r="F463" s="108">
        <v>4</v>
      </c>
      <c r="G463" s="116">
        <f>1.9*2.5</f>
        <v>4.75</v>
      </c>
      <c r="H463" s="116">
        <f>G463*F463</f>
        <v>19</v>
      </c>
    </row>
    <row r="464" spans="2:8" x14ac:dyDescent="0.25">
      <c r="B464" s="108" t="s">
        <v>264</v>
      </c>
      <c r="C464" s="108" t="s">
        <v>256</v>
      </c>
      <c r="D464" s="108" t="s">
        <v>262</v>
      </c>
      <c r="E464" s="108" t="s">
        <v>265</v>
      </c>
      <c r="F464" s="108">
        <v>6</v>
      </c>
      <c r="G464" s="116">
        <f>3*2.5</f>
        <v>7.5</v>
      </c>
      <c r="H464" s="116">
        <f>G464*F464</f>
        <v>45</v>
      </c>
    </row>
    <row r="465" spans="2:8" x14ac:dyDescent="0.25">
      <c r="B465" s="108" t="s">
        <v>266</v>
      </c>
      <c r="C465" s="108" t="s">
        <v>256</v>
      </c>
      <c r="D465" s="108" t="s">
        <v>262</v>
      </c>
      <c r="E465" s="108" t="s">
        <v>267</v>
      </c>
      <c r="F465" s="108">
        <v>2</v>
      </c>
      <c r="G465" s="116">
        <f>4.5*2.5</f>
        <v>11.25</v>
      </c>
      <c r="H465" s="116">
        <f>G465*F465</f>
        <v>22.5</v>
      </c>
    </row>
    <row r="466" spans="2:8" x14ac:dyDescent="0.25">
      <c r="B466" s="108" t="s">
        <v>268</v>
      </c>
      <c r="C466" s="108" t="s">
        <v>256</v>
      </c>
      <c r="D466" s="108" t="s">
        <v>262</v>
      </c>
      <c r="E466" s="108" t="s">
        <v>269</v>
      </c>
      <c r="F466" s="108">
        <v>1</v>
      </c>
      <c r="G466" s="116">
        <f>5.7*2.5</f>
        <v>14.25</v>
      </c>
      <c r="H466" s="116">
        <f>G466*F466</f>
        <v>14.25</v>
      </c>
    </row>
    <row r="467" spans="2:8" x14ac:dyDescent="0.25">
      <c r="B467" s="111"/>
      <c r="C467" s="111"/>
      <c r="D467" s="111"/>
      <c r="E467" s="111"/>
      <c r="F467" s="108"/>
      <c r="G467" s="116"/>
      <c r="H467" s="121">
        <f>SUM(H459:H466)</f>
        <v>120.75</v>
      </c>
    </row>
    <row r="468" spans="2:8" x14ac:dyDescent="0.25">
      <c r="B468" s="113" t="s">
        <v>270</v>
      </c>
      <c r="C468" s="105"/>
      <c r="D468" s="105"/>
      <c r="E468" s="105"/>
      <c r="F468" s="107"/>
      <c r="G468" s="118"/>
      <c r="H468" s="118"/>
    </row>
    <row r="469" spans="2:8" x14ac:dyDescent="0.25">
      <c r="B469" s="122"/>
      <c r="C469" s="122" t="s">
        <v>8</v>
      </c>
      <c r="D469" s="123"/>
      <c r="E469" s="114"/>
      <c r="F469" s="114"/>
      <c r="G469" s="115"/>
      <c r="H469" s="115"/>
    </row>
    <row r="470" spans="2:8" x14ac:dyDescent="0.25">
      <c r="B470" s="108" t="s">
        <v>201</v>
      </c>
      <c r="C470" s="108" t="s">
        <v>202</v>
      </c>
      <c r="D470" s="108" t="s">
        <v>271</v>
      </c>
      <c r="E470" s="108" t="s">
        <v>240</v>
      </c>
      <c r="F470" s="108">
        <v>3</v>
      </c>
      <c r="G470" s="116">
        <f>1.6*2.1</f>
        <v>3.3600000000000003</v>
      </c>
      <c r="H470" s="116">
        <f>G470*F470</f>
        <v>10.080000000000002</v>
      </c>
    </row>
    <row r="471" spans="2:8" x14ac:dyDescent="0.25">
      <c r="B471" s="108" t="s">
        <v>205</v>
      </c>
      <c r="C471" s="108" t="s">
        <v>206</v>
      </c>
      <c r="D471" s="108" t="s">
        <v>216</v>
      </c>
      <c r="E471" s="108" t="s">
        <v>208</v>
      </c>
      <c r="F471" s="108">
        <v>3</v>
      </c>
      <c r="G471" s="116">
        <f>0.8*2.1</f>
        <v>1.6800000000000002</v>
      </c>
      <c r="H471" s="116">
        <f>G471*F471</f>
        <v>5.0400000000000009</v>
      </c>
    </row>
    <row r="472" spans="2:8" x14ac:dyDescent="0.25">
      <c r="B472" s="108" t="s">
        <v>209</v>
      </c>
      <c r="C472" s="108" t="s">
        <v>206</v>
      </c>
      <c r="D472" s="108" t="s">
        <v>216</v>
      </c>
      <c r="E472" s="108" t="s">
        <v>272</v>
      </c>
      <c r="F472" s="108">
        <v>9</v>
      </c>
      <c r="G472" s="116">
        <f>0.9*2.1</f>
        <v>1.8900000000000001</v>
      </c>
      <c r="H472" s="116">
        <f>G472*F472</f>
        <v>17.010000000000002</v>
      </c>
    </row>
    <row r="473" spans="2:8" x14ac:dyDescent="0.25">
      <c r="B473" s="108"/>
      <c r="C473" s="122" t="s">
        <v>31</v>
      </c>
      <c r="D473" s="108"/>
      <c r="E473" s="108"/>
      <c r="F473" s="108"/>
      <c r="G473" s="116"/>
      <c r="H473" s="116"/>
    </row>
    <row r="474" spans="2:8" x14ac:dyDescent="0.25">
      <c r="B474" s="108" t="s">
        <v>221</v>
      </c>
      <c r="C474" s="108" t="s">
        <v>222</v>
      </c>
      <c r="D474" s="108" t="s">
        <v>273</v>
      </c>
      <c r="E474" s="108" t="s">
        <v>274</v>
      </c>
      <c r="F474" s="108">
        <v>1</v>
      </c>
      <c r="G474" s="116">
        <f>6.4*1*1.1</f>
        <v>7.0400000000000009</v>
      </c>
      <c r="H474" s="116">
        <f t="shared" ref="H474:H483" si="28">G474*F474</f>
        <v>7.0400000000000009</v>
      </c>
    </row>
    <row r="475" spans="2:8" x14ac:dyDescent="0.25">
      <c r="B475" s="108" t="s">
        <v>225</v>
      </c>
      <c r="C475" s="108" t="s">
        <v>222</v>
      </c>
      <c r="D475" s="108" t="s">
        <v>275</v>
      </c>
      <c r="E475" s="108" t="s">
        <v>276</v>
      </c>
      <c r="F475" s="108">
        <v>1</v>
      </c>
      <c r="G475" s="116">
        <f>3.15*1*1.1</f>
        <v>3.4650000000000003</v>
      </c>
      <c r="H475" s="116">
        <f t="shared" si="28"/>
        <v>3.4650000000000003</v>
      </c>
    </row>
    <row r="476" spans="2:8" x14ac:dyDescent="0.25">
      <c r="B476" s="108" t="s">
        <v>227</v>
      </c>
      <c r="C476" s="108" t="s">
        <v>222</v>
      </c>
      <c r="D476" s="108" t="s">
        <v>275</v>
      </c>
      <c r="E476" s="108" t="s">
        <v>277</v>
      </c>
      <c r="F476" s="108">
        <v>1</v>
      </c>
      <c r="G476" s="116">
        <f>2.5*1*1.1</f>
        <v>2.75</v>
      </c>
      <c r="H476" s="116">
        <f t="shared" si="28"/>
        <v>2.75</v>
      </c>
    </row>
    <row r="477" spans="2:8" x14ac:dyDescent="0.25">
      <c r="B477" s="108" t="s">
        <v>229</v>
      </c>
      <c r="C477" s="108" t="s">
        <v>222</v>
      </c>
      <c r="D477" s="108" t="s">
        <v>278</v>
      </c>
      <c r="E477" s="108" t="s">
        <v>279</v>
      </c>
      <c r="F477" s="108">
        <v>1</v>
      </c>
      <c r="G477" s="116">
        <f>2.3*0.5*1.6</f>
        <v>1.8399999999999999</v>
      </c>
      <c r="H477" s="116">
        <f t="shared" si="28"/>
        <v>1.8399999999999999</v>
      </c>
    </row>
    <row r="478" spans="2:8" x14ac:dyDescent="0.25">
      <c r="B478" s="108" t="s">
        <v>231</v>
      </c>
      <c r="C478" s="108" t="s">
        <v>222</v>
      </c>
      <c r="D478" s="108" t="s">
        <v>280</v>
      </c>
      <c r="E478" s="108" t="s">
        <v>281</v>
      </c>
      <c r="F478" s="108">
        <v>1</v>
      </c>
      <c r="G478" s="116">
        <f>1.95*1*1.1</f>
        <v>2.145</v>
      </c>
      <c r="H478" s="116">
        <f t="shared" si="28"/>
        <v>2.145</v>
      </c>
    </row>
    <row r="479" spans="2:8" x14ac:dyDescent="0.25">
      <c r="B479" s="108" t="s">
        <v>233</v>
      </c>
      <c r="C479" s="108" t="s">
        <v>222</v>
      </c>
      <c r="D479" s="108" t="s">
        <v>282</v>
      </c>
      <c r="E479" s="108" t="s">
        <v>283</v>
      </c>
      <c r="F479" s="108">
        <v>4</v>
      </c>
      <c r="G479" s="116">
        <f>4*1*1.1</f>
        <v>4.4000000000000004</v>
      </c>
      <c r="H479" s="116">
        <f t="shared" si="28"/>
        <v>17.600000000000001</v>
      </c>
    </row>
    <row r="480" spans="2:8" x14ac:dyDescent="0.25">
      <c r="B480" s="108" t="s">
        <v>284</v>
      </c>
      <c r="C480" s="108" t="s">
        <v>222</v>
      </c>
      <c r="D480" s="108" t="s">
        <v>275</v>
      </c>
      <c r="E480" s="108" t="s">
        <v>285</v>
      </c>
      <c r="F480" s="108">
        <v>1</v>
      </c>
      <c r="G480" s="116">
        <f>2.7*1*1.1</f>
        <v>2.9700000000000006</v>
      </c>
      <c r="H480" s="116">
        <f t="shared" si="28"/>
        <v>2.9700000000000006</v>
      </c>
    </row>
    <row r="481" spans="2:8" x14ac:dyDescent="0.25">
      <c r="B481" s="108" t="s">
        <v>286</v>
      </c>
      <c r="C481" s="108" t="s">
        <v>222</v>
      </c>
      <c r="D481" s="108" t="s">
        <v>280</v>
      </c>
      <c r="E481" s="108" t="s">
        <v>287</v>
      </c>
      <c r="F481" s="108">
        <v>1</v>
      </c>
      <c r="G481" s="116">
        <f>2.25*1*1.1</f>
        <v>2.4750000000000001</v>
      </c>
      <c r="H481" s="116">
        <f t="shared" si="28"/>
        <v>2.4750000000000001</v>
      </c>
    </row>
    <row r="482" spans="2:8" x14ac:dyDescent="0.25">
      <c r="B482" s="108" t="s">
        <v>288</v>
      </c>
      <c r="C482" s="108" t="s">
        <v>222</v>
      </c>
      <c r="D482" s="108" t="s">
        <v>278</v>
      </c>
      <c r="E482" s="108" t="s">
        <v>289</v>
      </c>
      <c r="F482" s="108">
        <v>1</v>
      </c>
      <c r="G482" s="116">
        <f>2.25*0.5*1.6</f>
        <v>1.8</v>
      </c>
      <c r="H482" s="116">
        <f t="shared" si="28"/>
        <v>1.8</v>
      </c>
    </row>
    <row r="483" spans="2:8" x14ac:dyDescent="0.25">
      <c r="B483" s="108" t="s">
        <v>290</v>
      </c>
      <c r="C483" s="108" t="s">
        <v>222</v>
      </c>
      <c r="D483" s="108" t="s">
        <v>275</v>
      </c>
      <c r="E483" s="108" t="s">
        <v>291</v>
      </c>
      <c r="F483" s="108">
        <v>1</v>
      </c>
      <c r="G483" s="116">
        <f>4.1*1.1*1</f>
        <v>4.51</v>
      </c>
      <c r="H483" s="116">
        <f t="shared" si="28"/>
        <v>4.51</v>
      </c>
    </row>
    <row r="484" spans="2:8" x14ac:dyDescent="0.25">
      <c r="B484" s="108"/>
      <c r="C484" s="111"/>
      <c r="D484" s="111"/>
      <c r="E484" s="111"/>
      <c r="F484" s="108"/>
      <c r="G484" s="116"/>
      <c r="H484" s="121">
        <f>SUM(H470:H483)</f>
        <v>78.725000000000009</v>
      </c>
    </row>
    <row r="485" spans="2:8" x14ac:dyDescent="0.25">
      <c r="B485" s="113" t="s">
        <v>292</v>
      </c>
      <c r="C485" s="105"/>
      <c r="D485" s="105"/>
      <c r="E485" s="105"/>
      <c r="F485" s="107"/>
      <c r="G485" s="118"/>
      <c r="H485" s="118"/>
    </row>
    <row r="486" spans="2:8" x14ac:dyDescent="0.25">
      <c r="B486" s="122"/>
      <c r="C486" s="122" t="s">
        <v>8</v>
      </c>
      <c r="D486" s="123"/>
      <c r="E486" s="114"/>
      <c r="F486" s="114"/>
      <c r="G486" s="115"/>
      <c r="H486" s="115"/>
    </row>
    <row r="487" spans="2:8" x14ac:dyDescent="0.25">
      <c r="B487" s="108" t="s">
        <v>201</v>
      </c>
      <c r="C487" s="108" t="s">
        <v>254</v>
      </c>
      <c r="D487" s="108" t="s">
        <v>216</v>
      </c>
      <c r="E487" s="108" t="s">
        <v>240</v>
      </c>
      <c r="F487" s="108">
        <v>2</v>
      </c>
      <c r="G487" s="116">
        <f>1.6*2.1</f>
        <v>3.3600000000000003</v>
      </c>
      <c r="H487" s="116">
        <f>G487*F487</f>
        <v>6.7200000000000006</v>
      </c>
    </row>
    <row r="488" spans="2:8" x14ac:dyDescent="0.25">
      <c r="B488" s="108" t="s">
        <v>293</v>
      </c>
      <c r="C488" s="108" t="s">
        <v>244</v>
      </c>
      <c r="D488" s="108" t="s">
        <v>203</v>
      </c>
      <c r="E488" s="108" t="s">
        <v>213</v>
      </c>
      <c r="F488" s="108">
        <v>6</v>
      </c>
      <c r="G488" s="116">
        <f>2*2.1</f>
        <v>4.2</v>
      </c>
      <c r="H488" s="116">
        <f>G488*F488</f>
        <v>25.200000000000003</v>
      </c>
    </row>
    <row r="489" spans="2:8" x14ac:dyDescent="0.25">
      <c r="B489" s="111"/>
      <c r="C489" s="111"/>
      <c r="D489" s="111"/>
      <c r="E489" s="111"/>
      <c r="F489" s="108"/>
      <c r="G489" s="116"/>
      <c r="H489" s="121">
        <f>SUM(H487:H488)</f>
        <v>31.92</v>
      </c>
    </row>
  </sheetData>
  <mergeCells count="22">
    <mergeCell ref="C97:I97"/>
    <mergeCell ref="B3:J3"/>
    <mergeCell ref="B34:J34"/>
    <mergeCell ref="C36:I36"/>
    <mergeCell ref="C57:I57"/>
    <mergeCell ref="C78:I78"/>
    <mergeCell ref="C114:I114"/>
    <mergeCell ref="C164:I164"/>
    <mergeCell ref="C181:I181"/>
    <mergeCell ref="C200:I200"/>
    <mergeCell ref="B209:J209"/>
    <mergeCell ref="C130:I130"/>
    <mergeCell ref="C147:I147"/>
    <mergeCell ref="C214:I214"/>
    <mergeCell ref="C421:I421"/>
    <mergeCell ref="C283:I283"/>
    <mergeCell ref="C305:I305"/>
    <mergeCell ref="C332:I332"/>
    <mergeCell ref="C396:I396"/>
    <mergeCell ref="C415:I415"/>
    <mergeCell ref="C372:I372"/>
    <mergeCell ref="C350:I350"/>
  </mergeCells>
  <dataValidations count="5">
    <dataValidation type="list" allowBlank="1" showInputMessage="1" showErrorMessage="1" sqref="F39:F44 F46:F48 F50:F51 F68:F69 F17:F20 F53:F56 F87 F81:F85 F92 F100:F104 F109 F117:F121 F133:F136 F138 F60:F66 F155 F150:F153 F172 F190 F184:F188 F203 F167:F170 F7:F15 F22:F23 F25:F27">
      <formula1>"0,60 x 1,80,0,90 x 1,80,0,60 x 2,10,0,80 x 2,10,0,90 x 2,10,1,00 x 2,10,1,20 x 2,10,1,60 x 2,10,2,00 x 2,10,2,10 x 2,10,2,20 x 2,10,Ver projeto"</formula1>
    </dataValidation>
    <dataValidation type="list" allowBlank="1" showInputMessage="1" showErrorMessage="1" sqref="E39:E43 E46:E48 E50:E51 E53:E56 E17:E20 E68:E69 E87 E76 E81:E85 E92:E93 E74 E71:E72 E89:E90 E95 E100:E104 E109:E110 E106:E107 E112 E117:E121 E123:E124 E126 E128 E140:E141 E143 E145 E133:E136 E138 E157:E158 E160 E162 E60:E66 E155 E174:E175 E177 E179 E150:E153 E172 E192:E193 E195:E196 E198 E190 E184:E188 E205 E203 E167:E170 E7:E14 E22:E23 E25:E27 E29">
      <formula1>"Vidro,Madeira,Metálica,Alumínio e vidro,PVC,Corta fogo,A definir"</formula1>
    </dataValidation>
    <dataValidation type="list" allowBlank="1" showInputMessage="1" showErrorMessage="1" sqref="D39:D44 D46:D48 D50:D51 D53:D56 D17:D20 D68:D69 D87 D76 D81:D85 D92:D93 D74 D71:D72 D89:D90 D95 D100:D104 D109:D110 D106:D107 D112 D117:D121 D123:D124 D126 D128 D140:D141 D143 D145 D133:D136 D138 D157:D158 D160 D162 D60:D66 D155 D174:D175 D177 D179 D150:D153 D172 D192:D193 D195:D196 D198 D190 D184:D188 D205 D203 D167:D170 D7:D15 D22:D23 D25:D27 D29">
      <formula1>"Abrir,Correr,Fixo,Maxiar,Sanfonada,A definir"</formula1>
    </dataValidation>
    <dataValidation type="list" allowBlank="1" showInputMessage="1" showErrorMessage="1" sqref="C39:C44 C46:C48 C17:C20 C68:C69 C87 C81:C85 C100:C104 C117:C121 C133:C136 C138 C60:C66 C155 C150:C153 C172 C190 C184:C188 C203 C167:C170 C7:C15">
      <formula1>"Porta com 1 folha,Porta com 2 folhas"</formula1>
    </dataValidation>
    <dataValidation type="list" allowBlank="1" showInputMessage="1" showErrorMessage="1" sqref="F76 F74 F93 F71:F72 F89:F90 F95 F110 F106:F107 F112 F126 F123:F124 F128 F143 F140:F141 F145 F160 F157:F158 F162 F177 F174:F175 F179 F195:F196 F192:F193 F198 F205 F29">
      <formula1>"0,60 x 1,80,0,90 x 1,80,0,80 x 2,10,0,90 x 2,10,1,00 x 2,10,1,20 x 2,10,1,60 x 2,10,2,00 x 2,10,2,20 x 2,10,Ver projeto"</formula1>
    </dataValidation>
  </dataValidations>
  <pageMargins left="0.51181102362204722" right="0.51181102362204722" top="0.78740157480314965" bottom="0.78740157480314965" header="0.31496062992125984" footer="0.31496062992125984"/>
  <pageSetup paperSize="9" scale="70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B2:F73"/>
  <sheetViews>
    <sheetView workbookViewId="0">
      <pane xSplit="1" ySplit="3" topLeftCell="B52" activePane="bottomRight" state="frozen"/>
      <selection activeCell="K273" sqref="K273:K318"/>
      <selection pane="topRight" activeCell="K273" sqref="K273:K318"/>
      <selection pane="bottomLeft" activeCell="K273" sqref="K273:K318"/>
      <selection pane="bottomRight" activeCell="C64" sqref="C64"/>
    </sheetView>
  </sheetViews>
  <sheetFormatPr defaultRowHeight="15.75" x14ac:dyDescent="0.25"/>
  <cols>
    <col min="2" max="2" width="23.875" customWidth="1"/>
    <col min="3" max="3" width="9.25" customWidth="1"/>
    <col min="4" max="4" width="13.25" customWidth="1"/>
    <col min="5" max="5" width="7.875" customWidth="1"/>
    <col min="6" max="6" width="17.875" customWidth="1"/>
  </cols>
  <sheetData>
    <row r="2" spans="2:6" ht="27" customHeight="1" x14ac:dyDescent="0.25">
      <c r="B2" s="954" t="s">
        <v>2859</v>
      </c>
      <c r="C2" s="954"/>
      <c r="D2" s="954"/>
      <c r="E2" s="954"/>
      <c r="F2" s="954"/>
    </row>
    <row r="3" spans="2:6" x14ac:dyDescent="0.25">
      <c r="B3" s="51" t="s">
        <v>2570</v>
      </c>
      <c r="C3" s="51" t="s">
        <v>198</v>
      </c>
      <c r="D3" s="51" t="s">
        <v>2571</v>
      </c>
      <c r="E3" s="52" t="s">
        <v>2860</v>
      </c>
      <c r="F3" s="53" t="s">
        <v>641</v>
      </c>
    </row>
    <row r="4" spans="2:6" ht="16.5" x14ac:dyDescent="0.3">
      <c r="B4" s="134" t="s">
        <v>2820</v>
      </c>
      <c r="C4" s="135"/>
      <c r="D4" s="135"/>
      <c r="E4" s="135"/>
      <c r="F4" s="45"/>
    </row>
    <row r="5" spans="2:6" ht="16.5" x14ac:dyDescent="0.3">
      <c r="B5" s="136" t="s">
        <v>2821</v>
      </c>
      <c r="C5" s="128"/>
      <c r="D5" s="128"/>
      <c r="E5" s="128"/>
      <c r="F5" s="54"/>
    </row>
    <row r="6" spans="2:6" ht="16.5" x14ac:dyDescent="0.3">
      <c r="B6" s="129" t="s">
        <v>2643</v>
      </c>
      <c r="C6" s="128">
        <v>5.18</v>
      </c>
      <c r="D6" s="128">
        <v>9.99</v>
      </c>
      <c r="E6" s="128">
        <v>0.5</v>
      </c>
      <c r="F6" s="128">
        <f t="shared" ref="F6:F53" si="0">C6+D6*E6</f>
        <v>10.175000000000001</v>
      </c>
    </row>
    <row r="7" spans="2:6" ht="16.5" x14ac:dyDescent="0.3">
      <c r="B7" s="129" t="s">
        <v>2645</v>
      </c>
      <c r="C7" s="128">
        <v>5.18</v>
      </c>
      <c r="D7" s="128">
        <v>9.99</v>
      </c>
      <c r="E7" s="128">
        <f>$E$6</f>
        <v>0.5</v>
      </c>
      <c r="F7" s="128">
        <f t="shared" si="0"/>
        <v>10.175000000000001</v>
      </c>
    </row>
    <row r="8" spans="2:6" ht="16.5" x14ac:dyDescent="0.3">
      <c r="B8" s="129" t="s">
        <v>2647</v>
      </c>
      <c r="C8" s="128">
        <v>5.18</v>
      </c>
      <c r="D8" s="128">
        <v>9.99</v>
      </c>
      <c r="E8" s="128">
        <f t="shared" ref="E8:E53" si="1">$E$6</f>
        <v>0.5</v>
      </c>
      <c r="F8" s="128">
        <f t="shared" si="0"/>
        <v>10.175000000000001</v>
      </c>
    </row>
    <row r="9" spans="2:6" ht="16.5" x14ac:dyDescent="0.3">
      <c r="B9" s="129" t="s">
        <v>2649</v>
      </c>
      <c r="C9" s="128">
        <v>5.18</v>
      </c>
      <c r="D9" s="128">
        <v>9.99</v>
      </c>
      <c r="E9" s="128">
        <f t="shared" si="1"/>
        <v>0.5</v>
      </c>
      <c r="F9" s="128">
        <f t="shared" si="0"/>
        <v>10.175000000000001</v>
      </c>
    </row>
    <row r="10" spans="2:6" ht="16.5" x14ac:dyDescent="0.3">
      <c r="B10" s="129" t="s">
        <v>2652</v>
      </c>
      <c r="C10" s="128">
        <v>5.18</v>
      </c>
      <c r="D10" s="128">
        <v>9.99</v>
      </c>
      <c r="E10" s="128">
        <f t="shared" si="1"/>
        <v>0.5</v>
      </c>
      <c r="F10" s="128">
        <f t="shared" si="0"/>
        <v>10.175000000000001</v>
      </c>
    </row>
    <row r="11" spans="2:6" ht="16.5" x14ac:dyDescent="0.3">
      <c r="B11" s="129" t="s">
        <v>2658</v>
      </c>
      <c r="C11" s="128">
        <v>5.18</v>
      </c>
      <c r="D11" s="128">
        <v>9.99</v>
      </c>
      <c r="E11" s="128">
        <f t="shared" si="1"/>
        <v>0.5</v>
      </c>
      <c r="F11" s="128">
        <f t="shared" si="0"/>
        <v>10.175000000000001</v>
      </c>
    </row>
    <row r="12" spans="2:6" ht="16.5" x14ac:dyDescent="0.3">
      <c r="B12" s="129" t="s">
        <v>2591</v>
      </c>
      <c r="C12" s="128">
        <v>3.14</v>
      </c>
      <c r="D12" s="128">
        <v>7.1</v>
      </c>
      <c r="E12" s="128">
        <f t="shared" si="1"/>
        <v>0.5</v>
      </c>
      <c r="F12" s="128">
        <f t="shared" si="0"/>
        <v>6.6899999999999995</v>
      </c>
    </row>
    <row r="13" spans="2:6" ht="16.5" x14ac:dyDescent="0.3">
      <c r="B13" s="129" t="s">
        <v>2823</v>
      </c>
      <c r="C13" s="128">
        <v>9.93</v>
      </c>
      <c r="D13" s="128">
        <v>13.44</v>
      </c>
      <c r="E13" s="128">
        <f t="shared" si="1"/>
        <v>0.5</v>
      </c>
      <c r="F13" s="128">
        <f t="shared" si="0"/>
        <v>16.649999999999999</v>
      </c>
    </row>
    <row r="14" spans="2:6" ht="16.5" x14ac:dyDescent="0.3">
      <c r="B14" s="129" t="s">
        <v>2678</v>
      </c>
      <c r="C14" s="128">
        <v>5.69</v>
      </c>
      <c r="D14" s="128">
        <v>10.58</v>
      </c>
      <c r="E14" s="128">
        <f t="shared" si="1"/>
        <v>0.5</v>
      </c>
      <c r="F14" s="128">
        <f t="shared" si="0"/>
        <v>10.98</v>
      </c>
    </row>
    <row r="15" spans="2:6" ht="16.5" x14ac:dyDescent="0.3">
      <c r="B15" s="129" t="s">
        <v>2668</v>
      </c>
      <c r="C15" s="128">
        <v>5.19</v>
      </c>
      <c r="D15" s="128">
        <v>10</v>
      </c>
      <c r="E15" s="128">
        <f t="shared" si="1"/>
        <v>0.5</v>
      </c>
      <c r="F15" s="128">
        <f t="shared" si="0"/>
        <v>10.190000000000001</v>
      </c>
    </row>
    <row r="16" spans="2:6" ht="16.5" x14ac:dyDescent="0.3">
      <c r="B16" s="129" t="s">
        <v>2674</v>
      </c>
      <c r="C16" s="128">
        <v>5.19</v>
      </c>
      <c r="D16" s="128">
        <v>10</v>
      </c>
      <c r="E16" s="128">
        <f t="shared" si="1"/>
        <v>0.5</v>
      </c>
      <c r="F16" s="128">
        <f t="shared" si="0"/>
        <v>10.190000000000001</v>
      </c>
    </row>
    <row r="17" spans="2:6" ht="16.5" x14ac:dyDescent="0.3">
      <c r="B17" s="136" t="s">
        <v>2825</v>
      </c>
      <c r="C17" s="128"/>
      <c r="D17" s="128"/>
      <c r="E17" s="128"/>
      <c r="F17" s="128"/>
    </row>
    <row r="18" spans="2:6" ht="16.5" x14ac:dyDescent="0.3">
      <c r="B18" s="129" t="s">
        <v>2591</v>
      </c>
      <c r="C18" s="128">
        <v>3.14</v>
      </c>
      <c r="D18" s="128">
        <v>7.1</v>
      </c>
      <c r="E18" s="128">
        <f t="shared" si="1"/>
        <v>0.5</v>
      </c>
      <c r="F18" s="128">
        <f t="shared" si="0"/>
        <v>6.6899999999999995</v>
      </c>
    </row>
    <row r="19" spans="2:6" ht="16.5" x14ac:dyDescent="0.3">
      <c r="B19" s="129" t="s">
        <v>2826</v>
      </c>
      <c r="C19" s="128">
        <v>12.84</v>
      </c>
      <c r="D19" s="128">
        <v>17.399999999999999</v>
      </c>
      <c r="E19" s="128">
        <f t="shared" si="1"/>
        <v>0.5</v>
      </c>
      <c r="F19" s="128">
        <f t="shared" si="0"/>
        <v>21.54</v>
      </c>
    </row>
    <row r="20" spans="2:6" ht="16.5" x14ac:dyDescent="0.3">
      <c r="B20" s="129" t="s">
        <v>2827</v>
      </c>
      <c r="C20" s="128">
        <v>2.1</v>
      </c>
      <c r="D20" s="128">
        <v>6.35</v>
      </c>
      <c r="E20" s="128">
        <f t="shared" si="1"/>
        <v>0.5</v>
      </c>
      <c r="F20" s="128">
        <f t="shared" si="0"/>
        <v>5.2750000000000004</v>
      </c>
    </row>
    <row r="21" spans="2:6" ht="16.5" x14ac:dyDescent="0.3">
      <c r="B21" s="129" t="s">
        <v>2828</v>
      </c>
      <c r="C21" s="128">
        <v>2.5099999999999998</v>
      </c>
      <c r="D21" s="128">
        <v>6.35</v>
      </c>
      <c r="E21" s="128">
        <f t="shared" si="1"/>
        <v>0.5</v>
      </c>
      <c r="F21" s="128">
        <f t="shared" si="0"/>
        <v>5.6849999999999996</v>
      </c>
    </row>
    <row r="22" spans="2:6" ht="16.5" x14ac:dyDescent="0.3">
      <c r="B22" s="129" t="s">
        <v>2676</v>
      </c>
      <c r="C22" s="128">
        <v>5.17</v>
      </c>
      <c r="D22" s="128">
        <v>9.99</v>
      </c>
      <c r="E22" s="128">
        <f t="shared" si="1"/>
        <v>0.5</v>
      </c>
      <c r="F22" s="128">
        <f t="shared" si="0"/>
        <v>10.164999999999999</v>
      </c>
    </row>
    <row r="23" spans="2:6" ht="16.5" x14ac:dyDescent="0.3">
      <c r="B23" s="129" t="s">
        <v>2680</v>
      </c>
      <c r="C23" s="128">
        <v>5.17</v>
      </c>
      <c r="D23" s="128">
        <v>9.99</v>
      </c>
      <c r="E23" s="128">
        <f t="shared" si="1"/>
        <v>0.5</v>
      </c>
      <c r="F23" s="128">
        <f t="shared" si="0"/>
        <v>10.164999999999999</v>
      </c>
    </row>
    <row r="24" spans="2:6" ht="16.5" x14ac:dyDescent="0.3">
      <c r="B24" s="129" t="s">
        <v>2830</v>
      </c>
      <c r="C24" s="128">
        <v>5.23</v>
      </c>
      <c r="D24" s="128">
        <v>10.06</v>
      </c>
      <c r="E24" s="128">
        <f t="shared" si="1"/>
        <v>0.5</v>
      </c>
      <c r="F24" s="128">
        <f t="shared" si="0"/>
        <v>10.260000000000002</v>
      </c>
    </row>
    <row r="25" spans="2:6" ht="16.5" x14ac:dyDescent="0.3">
      <c r="B25" s="129" t="s">
        <v>2678</v>
      </c>
      <c r="C25" s="128">
        <v>5.77</v>
      </c>
      <c r="D25" s="128">
        <v>10.67</v>
      </c>
      <c r="E25" s="128">
        <f t="shared" si="1"/>
        <v>0.5</v>
      </c>
      <c r="F25" s="128">
        <f t="shared" si="0"/>
        <v>11.105</v>
      </c>
    </row>
    <row r="26" spans="2:6" ht="16.5" x14ac:dyDescent="0.3">
      <c r="B26" s="129" t="s">
        <v>2832</v>
      </c>
      <c r="C26" s="128">
        <v>5.2</v>
      </c>
      <c r="D26" s="128">
        <v>10.01</v>
      </c>
      <c r="E26" s="128">
        <f t="shared" si="1"/>
        <v>0.5</v>
      </c>
      <c r="F26" s="128">
        <f t="shared" si="0"/>
        <v>10.205</v>
      </c>
    </row>
    <row r="27" spans="2:6" ht="16.5" x14ac:dyDescent="0.3">
      <c r="B27" s="129" t="s">
        <v>2834</v>
      </c>
      <c r="C27" s="128">
        <v>5.2</v>
      </c>
      <c r="D27" s="128">
        <v>10.01</v>
      </c>
      <c r="E27" s="128">
        <f t="shared" si="1"/>
        <v>0.5</v>
      </c>
      <c r="F27" s="128">
        <f t="shared" si="0"/>
        <v>10.205</v>
      </c>
    </row>
    <row r="28" spans="2:6" ht="16.5" x14ac:dyDescent="0.3">
      <c r="B28" s="129" t="s">
        <v>2836</v>
      </c>
      <c r="C28" s="128">
        <v>5.7</v>
      </c>
      <c r="D28" s="128">
        <v>10.11</v>
      </c>
      <c r="E28" s="128">
        <f t="shared" si="1"/>
        <v>0.5</v>
      </c>
      <c r="F28" s="128">
        <f t="shared" si="0"/>
        <v>10.754999999999999</v>
      </c>
    </row>
    <row r="29" spans="2:6" ht="16.5" x14ac:dyDescent="0.3">
      <c r="B29" s="136" t="s">
        <v>2837</v>
      </c>
      <c r="C29" s="128"/>
      <c r="D29" s="128"/>
      <c r="E29" s="128"/>
      <c r="F29" s="128"/>
    </row>
    <row r="30" spans="2:6" ht="16.5" x14ac:dyDescent="0.3">
      <c r="B30" s="129" t="s">
        <v>2643</v>
      </c>
      <c r="C30" s="128">
        <v>5.17</v>
      </c>
      <c r="D30" s="128">
        <v>9.99</v>
      </c>
      <c r="E30" s="128">
        <f t="shared" si="1"/>
        <v>0.5</v>
      </c>
      <c r="F30" s="128">
        <f t="shared" si="0"/>
        <v>10.164999999999999</v>
      </c>
    </row>
    <row r="31" spans="2:6" ht="16.5" x14ac:dyDescent="0.3">
      <c r="B31" s="129" t="s">
        <v>2645</v>
      </c>
      <c r="C31" s="128">
        <v>5.18</v>
      </c>
      <c r="D31" s="128">
        <v>9.99</v>
      </c>
      <c r="E31" s="128">
        <f t="shared" si="1"/>
        <v>0.5</v>
      </c>
      <c r="F31" s="128">
        <f t="shared" si="0"/>
        <v>10.175000000000001</v>
      </c>
    </row>
    <row r="32" spans="2:6" ht="16.5" x14ac:dyDescent="0.3">
      <c r="B32" s="129" t="s">
        <v>2647</v>
      </c>
      <c r="C32" s="128">
        <v>5.18</v>
      </c>
      <c r="D32" s="128">
        <v>9.99</v>
      </c>
      <c r="E32" s="128">
        <f t="shared" si="1"/>
        <v>0.5</v>
      </c>
      <c r="F32" s="128">
        <f t="shared" si="0"/>
        <v>10.175000000000001</v>
      </c>
    </row>
    <row r="33" spans="2:6" ht="16.5" x14ac:dyDescent="0.3">
      <c r="B33" s="129" t="s">
        <v>2649</v>
      </c>
      <c r="C33" s="128">
        <v>5.17</v>
      </c>
      <c r="D33" s="128">
        <v>9.99</v>
      </c>
      <c r="E33" s="128">
        <f t="shared" si="1"/>
        <v>0.5</v>
      </c>
      <c r="F33" s="128">
        <f t="shared" si="0"/>
        <v>10.164999999999999</v>
      </c>
    </row>
    <row r="34" spans="2:6" ht="16.5" x14ac:dyDescent="0.3">
      <c r="B34" s="129" t="s">
        <v>2652</v>
      </c>
      <c r="C34" s="128">
        <v>5.18</v>
      </c>
      <c r="D34" s="128">
        <v>9.99</v>
      </c>
      <c r="E34" s="128">
        <f t="shared" si="1"/>
        <v>0.5</v>
      </c>
      <c r="F34" s="128">
        <f t="shared" si="0"/>
        <v>10.175000000000001</v>
      </c>
    </row>
    <row r="35" spans="2:6" ht="16.5" x14ac:dyDescent="0.3">
      <c r="B35" s="129" t="s">
        <v>2678</v>
      </c>
      <c r="C35" s="128">
        <v>5.71</v>
      </c>
      <c r="D35" s="128">
        <v>10.6</v>
      </c>
      <c r="E35" s="128">
        <f t="shared" si="1"/>
        <v>0.5</v>
      </c>
      <c r="F35" s="128">
        <f t="shared" si="0"/>
        <v>11.01</v>
      </c>
    </row>
    <row r="36" spans="2:6" ht="16.5" x14ac:dyDescent="0.3">
      <c r="B36" s="129" t="s">
        <v>2838</v>
      </c>
      <c r="C36" s="128">
        <v>10.69</v>
      </c>
      <c r="D36" s="128">
        <v>14.12</v>
      </c>
      <c r="E36" s="128">
        <f t="shared" si="1"/>
        <v>0.5</v>
      </c>
      <c r="F36" s="128">
        <f t="shared" si="0"/>
        <v>17.75</v>
      </c>
    </row>
    <row r="37" spans="2:6" ht="16.5" x14ac:dyDescent="0.3">
      <c r="B37" s="129" t="s">
        <v>2591</v>
      </c>
      <c r="C37" s="128">
        <v>3.15</v>
      </c>
      <c r="D37" s="128">
        <v>7.1</v>
      </c>
      <c r="E37" s="128">
        <f t="shared" si="1"/>
        <v>0.5</v>
      </c>
      <c r="F37" s="128">
        <f t="shared" si="0"/>
        <v>6.6999999999999993</v>
      </c>
    </row>
    <row r="38" spans="2:6" ht="16.5" x14ac:dyDescent="0.3">
      <c r="B38" s="129" t="s">
        <v>2658</v>
      </c>
      <c r="C38" s="128">
        <v>5.12</v>
      </c>
      <c r="D38" s="128">
        <v>9.9499999999999993</v>
      </c>
      <c r="E38" s="128">
        <f t="shared" si="1"/>
        <v>0.5</v>
      </c>
      <c r="F38" s="128">
        <f t="shared" si="0"/>
        <v>10.094999999999999</v>
      </c>
    </row>
    <row r="39" spans="2:6" ht="16.5" x14ac:dyDescent="0.3">
      <c r="B39" s="136" t="s">
        <v>2839</v>
      </c>
      <c r="C39" s="128"/>
      <c r="D39" s="128"/>
      <c r="E39" s="128"/>
      <c r="F39" s="128"/>
    </row>
    <row r="40" spans="2:6" ht="16.5" x14ac:dyDescent="0.3">
      <c r="B40" s="129" t="s">
        <v>2643</v>
      </c>
      <c r="C40" s="128">
        <v>5.17</v>
      </c>
      <c r="D40" s="128">
        <v>9.99</v>
      </c>
      <c r="E40" s="128">
        <f t="shared" si="1"/>
        <v>0.5</v>
      </c>
      <c r="F40" s="128">
        <f t="shared" si="0"/>
        <v>10.164999999999999</v>
      </c>
    </row>
    <row r="41" spans="2:6" ht="16.5" x14ac:dyDescent="0.3">
      <c r="B41" s="129" t="s">
        <v>2660</v>
      </c>
      <c r="C41" s="128">
        <v>2.5099999999999998</v>
      </c>
      <c r="D41" s="128">
        <v>6.35</v>
      </c>
      <c r="E41" s="128">
        <f t="shared" si="1"/>
        <v>0.5</v>
      </c>
      <c r="F41" s="128">
        <f t="shared" si="0"/>
        <v>5.6849999999999996</v>
      </c>
    </row>
    <row r="42" spans="2:6" ht="16.5" x14ac:dyDescent="0.3">
      <c r="B42" s="129" t="s">
        <v>2661</v>
      </c>
      <c r="C42" s="128">
        <v>2.11</v>
      </c>
      <c r="D42" s="128">
        <v>6.35</v>
      </c>
      <c r="E42" s="128">
        <f t="shared" si="1"/>
        <v>0.5</v>
      </c>
      <c r="F42" s="128">
        <f t="shared" si="0"/>
        <v>5.2850000000000001</v>
      </c>
    </row>
    <row r="43" spans="2:6" ht="16.5" x14ac:dyDescent="0.3">
      <c r="B43" s="129" t="s">
        <v>2591</v>
      </c>
      <c r="C43" s="128">
        <v>3.13</v>
      </c>
      <c r="D43" s="128">
        <v>7.08</v>
      </c>
      <c r="E43" s="128">
        <f t="shared" si="1"/>
        <v>0.5</v>
      </c>
      <c r="F43" s="128">
        <f t="shared" si="0"/>
        <v>6.67</v>
      </c>
    </row>
    <row r="44" spans="2:6" ht="16.5" x14ac:dyDescent="0.3">
      <c r="B44" s="129" t="s">
        <v>2645</v>
      </c>
      <c r="C44" s="128">
        <v>5.18</v>
      </c>
      <c r="D44" s="128">
        <v>9.99</v>
      </c>
      <c r="E44" s="128">
        <f t="shared" si="1"/>
        <v>0.5</v>
      </c>
      <c r="F44" s="128">
        <f t="shared" si="0"/>
        <v>10.175000000000001</v>
      </c>
    </row>
    <row r="45" spans="2:6" ht="16.5" x14ac:dyDescent="0.3">
      <c r="B45" s="129" t="s">
        <v>2647</v>
      </c>
      <c r="C45" s="128">
        <v>5.18</v>
      </c>
      <c r="D45" s="128">
        <v>9.99</v>
      </c>
      <c r="E45" s="128">
        <f t="shared" si="1"/>
        <v>0.5</v>
      </c>
      <c r="F45" s="128">
        <f t="shared" si="0"/>
        <v>10.175000000000001</v>
      </c>
    </row>
    <row r="46" spans="2:6" ht="16.5" x14ac:dyDescent="0.3">
      <c r="B46" s="129" t="s">
        <v>2678</v>
      </c>
      <c r="C46" s="128">
        <v>5.71</v>
      </c>
      <c r="D46" s="128">
        <v>10.6</v>
      </c>
      <c r="E46" s="128">
        <f t="shared" si="1"/>
        <v>0.5</v>
      </c>
      <c r="F46" s="128">
        <f t="shared" si="0"/>
        <v>11.01</v>
      </c>
    </row>
    <row r="47" spans="2:6" ht="16.5" x14ac:dyDescent="0.3">
      <c r="B47" s="129" t="s">
        <v>2649</v>
      </c>
      <c r="C47" s="128">
        <v>5.18</v>
      </c>
      <c r="D47" s="128">
        <v>9.99</v>
      </c>
      <c r="E47" s="128">
        <f t="shared" si="1"/>
        <v>0.5</v>
      </c>
      <c r="F47" s="128">
        <f t="shared" si="0"/>
        <v>10.175000000000001</v>
      </c>
    </row>
    <row r="48" spans="2:6" ht="16.5" x14ac:dyDescent="0.3">
      <c r="B48" s="136" t="s">
        <v>2840</v>
      </c>
      <c r="C48" s="128"/>
      <c r="D48" s="128"/>
      <c r="E48" s="128"/>
      <c r="F48" s="128"/>
    </row>
    <row r="49" spans="2:6" ht="16.5" x14ac:dyDescent="0.3">
      <c r="B49" s="129" t="s">
        <v>2842</v>
      </c>
      <c r="C49" s="128">
        <v>14.65</v>
      </c>
      <c r="D49" s="128">
        <v>16.309999999999999</v>
      </c>
      <c r="E49" s="128">
        <f t="shared" si="1"/>
        <v>0.5</v>
      </c>
      <c r="F49" s="128">
        <f t="shared" si="0"/>
        <v>22.805</v>
      </c>
    </row>
    <row r="50" spans="2:6" ht="16.5" x14ac:dyDescent="0.3">
      <c r="B50" s="129" t="s">
        <v>2591</v>
      </c>
      <c r="C50" s="128">
        <v>2.85</v>
      </c>
      <c r="D50" s="128">
        <v>7.7</v>
      </c>
      <c r="E50" s="128">
        <f t="shared" si="1"/>
        <v>0.5</v>
      </c>
      <c r="F50" s="128">
        <f t="shared" si="0"/>
        <v>6.7</v>
      </c>
    </row>
    <row r="51" spans="2:6" ht="16.5" x14ac:dyDescent="0.3">
      <c r="B51" s="129" t="s">
        <v>2843</v>
      </c>
      <c r="C51" s="128">
        <v>14.72</v>
      </c>
      <c r="D51" s="128">
        <v>16.059999999999999</v>
      </c>
      <c r="E51" s="128">
        <f t="shared" si="1"/>
        <v>0.5</v>
      </c>
      <c r="F51" s="128">
        <f t="shared" si="0"/>
        <v>22.75</v>
      </c>
    </row>
    <row r="52" spans="2:6" ht="16.5" x14ac:dyDescent="0.3">
      <c r="B52" s="129" t="s">
        <v>2845</v>
      </c>
      <c r="C52" s="128">
        <v>5.0199999999999996</v>
      </c>
      <c r="D52" s="128">
        <v>8.9600000000000009</v>
      </c>
      <c r="E52" s="128">
        <f t="shared" si="1"/>
        <v>0.5</v>
      </c>
      <c r="F52" s="128">
        <f t="shared" si="0"/>
        <v>9.5</v>
      </c>
    </row>
    <row r="53" spans="2:6" ht="16.5" x14ac:dyDescent="0.3">
      <c r="B53" s="129" t="s">
        <v>2846</v>
      </c>
      <c r="C53" s="128">
        <v>5.0199999999999996</v>
      </c>
      <c r="D53" s="128">
        <v>8.9600000000000009</v>
      </c>
      <c r="E53" s="128">
        <f t="shared" si="1"/>
        <v>0.5</v>
      </c>
      <c r="F53" s="128">
        <f t="shared" si="0"/>
        <v>9.5</v>
      </c>
    </row>
    <row r="54" spans="2:6" ht="16.5" x14ac:dyDescent="0.25">
      <c r="B54" s="346" t="s">
        <v>74</v>
      </c>
      <c r="C54" s="347"/>
      <c r="D54" s="347"/>
      <c r="E54" s="347"/>
      <c r="F54" s="348">
        <f>SUM(F5:F53)</f>
        <v>464.80500000000012</v>
      </c>
    </row>
    <row r="55" spans="2:6" x14ac:dyDescent="0.25">
      <c r="F55">
        <v>452.4</v>
      </c>
    </row>
    <row r="57" spans="2:6" x14ac:dyDescent="0.25">
      <c r="B57" s="955" t="s">
        <v>2861</v>
      </c>
      <c r="C57" s="41">
        <v>316.45999999999998</v>
      </c>
      <c r="F57" s="409">
        <f>316.46+343.85+52.53+668.1+359.12+407.91+452.4</f>
        <v>2600.37</v>
      </c>
    </row>
    <row r="58" spans="2:6" x14ac:dyDescent="0.25">
      <c r="B58" s="955"/>
      <c r="C58" s="41">
        <v>343.85</v>
      </c>
    </row>
    <row r="59" spans="2:6" x14ac:dyDescent="0.25">
      <c r="B59" s="955"/>
      <c r="C59" s="41">
        <v>52.53</v>
      </c>
    </row>
    <row r="60" spans="2:6" x14ac:dyDescent="0.25">
      <c r="B60" s="955"/>
      <c r="C60" s="41">
        <v>655.7</v>
      </c>
    </row>
    <row r="61" spans="2:6" x14ac:dyDescent="0.25">
      <c r="B61" s="955"/>
      <c r="C61" s="41">
        <v>359.12</v>
      </c>
    </row>
    <row r="62" spans="2:6" x14ac:dyDescent="0.25">
      <c r="B62" s="955"/>
      <c r="C62" s="341">
        <v>407.9</v>
      </c>
    </row>
    <row r="63" spans="2:6" x14ac:dyDescent="0.25">
      <c r="C63" s="157">
        <f>SUM(C57:C62)</f>
        <v>2135.56</v>
      </c>
    </row>
    <row r="64" spans="2:6" x14ac:dyDescent="0.25">
      <c r="B64" s="166" t="s">
        <v>310</v>
      </c>
      <c r="C64" s="544">
        <f>C63+F54</f>
        <v>2600.3650000000002</v>
      </c>
      <c r="F64" s="49"/>
    </row>
    <row r="68" spans="2:2" x14ac:dyDescent="0.25">
      <c r="B68" s="338"/>
    </row>
    <row r="73" spans="2:2" x14ac:dyDescent="0.25">
      <c r="B73" s="338"/>
    </row>
  </sheetData>
  <mergeCells count="2">
    <mergeCell ref="B2:F2"/>
    <mergeCell ref="B57:B6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0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B2:E31"/>
  <sheetViews>
    <sheetView workbookViewId="0">
      <selection activeCell="L15" sqref="L15"/>
    </sheetView>
  </sheetViews>
  <sheetFormatPr defaultRowHeight="15.75" x14ac:dyDescent="0.25"/>
  <cols>
    <col min="1" max="1" width="2" style="170" customWidth="1"/>
    <col min="2" max="2" width="16.75" style="170" customWidth="1"/>
    <col min="3" max="5" width="9" style="170"/>
    <col min="6" max="6" width="2" style="170" customWidth="1"/>
    <col min="7" max="10" width="9" style="170"/>
    <col min="11" max="11" width="2" style="170" customWidth="1"/>
    <col min="12" max="12" width="9.75" style="170" bestFit="1" customWidth="1"/>
    <col min="13" max="15" width="9" style="170"/>
    <col min="16" max="16" width="2" style="170" customWidth="1"/>
    <col min="17" max="17" width="17.375" style="170" bestFit="1" customWidth="1"/>
    <col min="18" max="16384" width="9" style="170"/>
  </cols>
  <sheetData>
    <row r="2" spans="2:5" x14ac:dyDescent="0.25">
      <c r="B2" s="956" t="s">
        <v>2862</v>
      </c>
      <c r="C2" s="956"/>
      <c r="D2" s="956"/>
      <c r="E2" s="956"/>
    </row>
    <row r="4" spans="2:5" x14ac:dyDescent="0.25">
      <c r="B4" s="331" t="s">
        <v>2337</v>
      </c>
      <c r="C4" s="332" t="s">
        <v>2863</v>
      </c>
      <c r="D4" s="332" t="s">
        <v>198</v>
      </c>
      <c r="E4" s="333" t="s">
        <v>74</v>
      </c>
    </row>
    <row r="5" spans="2:5" x14ac:dyDescent="0.25">
      <c r="B5" s="332" t="s">
        <v>2864</v>
      </c>
      <c r="C5" s="332">
        <v>5</v>
      </c>
      <c r="D5" s="332">
        <v>2.04</v>
      </c>
      <c r="E5" s="349">
        <f>C5*D5</f>
        <v>10.199999999999999</v>
      </c>
    </row>
    <row r="6" spans="2:5" x14ac:dyDescent="0.25">
      <c r="B6" s="332" t="s">
        <v>2865</v>
      </c>
      <c r="C6" s="332">
        <v>16</v>
      </c>
      <c r="D6" s="332">
        <v>0.73</v>
      </c>
      <c r="E6" s="349">
        <f>C6*D6</f>
        <v>11.68</v>
      </c>
    </row>
    <row r="7" spans="2:5" x14ac:dyDescent="0.25">
      <c r="B7" s="332" t="s">
        <v>2866</v>
      </c>
      <c r="C7" s="332">
        <v>10</v>
      </c>
      <c r="D7" s="332">
        <v>2.97</v>
      </c>
      <c r="E7" s="349">
        <f>C7*D7</f>
        <v>29.700000000000003</v>
      </c>
    </row>
    <row r="8" spans="2:5" x14ac:dyDescent="0.25">
      <c r="B8" s="332" t="s">
        <v>2867</v>
      </c>
      <c r="C8" s="332">
        <v>50</v>
      </c>
      <c r="D8" s="332">
        <f>5*0.15</f>
        <v>0.75</v>
      </c>
      <c r="E8" s="349">
        <f>C8*D8</f>
        <v>37.5</v>
      </c>
    </row>
    <row r="9" spans="2:5" x14ac:dyDescent="0.25">
      <c r="B9" s="332" t="s">
        <v>2868</v>
      </c>
      <c r="C9" s="332">
        <v>2</v>
      </c>
      <c r="D9" s="332"/>
      <c r="E9" s="349" t="s">
        <v>0</v>
      </c>
    </row>
    <row r="11" spans="2:5" x14ac:dyDescent="0.25">
      <c r="B11" s="334" t="s">
        <v>2710</v>
      </c>
      <c r="C11" s="332" t="s">
        <v>2863</v>
      </c>
      <c r="D11" s="332" t="s">
        <v>198</v>
      </c>
      <c r="E11" s="333" t="s">
        <v>74</v>
      </c>
    </row>
    <row r="12" spans="2:5" x14ac:dyDescent="0.25">
      <c r="B12" s="332" t="s">
        <v>0</v>
      </c>
      <c r="C12" s="332">
        <v>1</v>
      </c>
      <c r="D12" s="332">
        <v>68.41</v>
      </c>
      <c r="E12" s="349">
        <f>C12*D12</f>
        <v>68.41</v>
      </c>
    </row>
    <row r="13" spans="2:5" x14ac:dyDescent="0.25">
      <c r="B13" s="332"/>
      <c r="C13" s="332">
        <v>1</v>
      </c>
      <c r="D13" s="332">
        <v>30.87</v>
      </c>
      <c r="E13" s="349">
        <f>C13*D13</f>
        <v>30.87</v>
      </c>
    </row>
    <row r="14" spans="2:5" x14ac:dyDescent="0.25">
      <c r="B14" s="332"/>
      <c r="C14" s="332">
        <v>2</v>
      </c>
      <c r="D14" s="332">
        <v>14.26</v>
      </c>
      <c r="E14" s="349">
        <f>C14*D14</f>
        <v>28.52</v>
      </c>
    </row>
    <row r="15" spans="2:5" x14ac:dyDescent="0.25">
      <c r="D15" s="335" t="s">
        <v>2869</v>
      </c>
      <c r="E15" s="350">
        <f>SUM(E12:E14)</f>
        <v>127.8</v>
      </c>
    </row>
    <row r="17" spans="2:5" x14ac:dyDescent="0.25">
      <c r="B17" s="331" t="s">
        <v>2870</v>
      </c>
      <c r="C17" s="332" t="s">
        <v>2863</v>
      </c>
      <c r="D17" s="332" t="s">
        <v>198</v>
      </c>
      <c r="E17" s="333" t="s">
        <v>74</v>
      </c>
    </row>
    <row r="18" spans="2:5" x14ac:dyDescent="0.25">
      <c r="B18" s="332" t="s">
        <v>0</v>
      </c>
      <c r="C18" s="332">
        <v>1</v>
      </c>
      <c r="D18" s="332">
        <v>173.25</v>
      </c>
      <c r="E18" s="349">
        <f t="shared" ref="E18:E23" si="0">C18*D18</f>
        <v>173.25</v>
      </c>
    </row>
    <row r="19" spans="2:5" x14ac:dyDescent="0.25">
      <c r="B19" s="332"/>
      <c r="C19" s="332">
        <v>1</v>
      </c>
      <c r="D19" s="332">
        <v>1364.46</v>
      </c>
      <c r="E19" s="349">
        <f t="shared" si="0"/>
        <v>1364.46</v>
      </c>
    </row>
    <row r="20" spans="2:5" x14ac:dyDescent="0.25">
      <c r="B20" s="332"/>
      <c r="C20" s="332">
        <v>1</v>
      </c>
      <c r="D20" s="332">
        <v>37.85</v>
      </c>
      <c r="E20" s="349">
        <f t="shared" si="0"/>
        <v>37.85</v>
      </c>
    </row>
    <row r="21" spans="2:5" ht="16.899999999999999" customHeight="1" x14ac:dyDescent="0.25">
      <c r="B21" s="332"/>
      <c r="C21" s="332">
        <v>1</v>
      </c>
      <c r="D21" s="332">
        <v>173.69</v>
      </c>
      <c r="E21" s="349">
        <f t="shared" si="0"/>
        <v>173.69</v>
      </c>
    </row>
    <row r="22" spans="2:5" x14ac:dyDescent="0.25">
      <c r="B22" s="332"/>
      <c r="C22" s="332">
        <v>1</v>
      </c>
      <c r="D22" s="332">
        <v>330.57</v>
      </c>
      <c r="E22" s="349">
        <f t="shared" si="0"/>
        <v>330.57</v>
      </c>
    </row>
    <row r="23" spans="2:5" x14ac:dyDescent="0.25">
      <c r="B23" s="332"/>
      <c r="C23" s="332">
        <v>1</v>
      </c>
      <c r="D23" s="332">
        <v>837.69</v>
      </c>
      <c r="E23" s="349">
        <f t="shared" si="0"/>
        <v>837.69</v>
      </c>
    </row>
    <row r="24" spans="2:5" x14ac:dyDescent="0.25">
      <c r="D24" s="335" t="s">
        <v>2869</v>
      </c>
      <c r="E24" s="350">
        <f>SUM(E18:E23)</f>
        <v>2917.51</v>
      </c>
    </row>
    <row r="26" spans="2:5" x14ac:dyDescent="0.25">
      <c r="B26" s="331" t="s">
        <v>2871</v>
      </c>
      <c r="C26" s="332" t="s">
        <v>2863</v>
      </c>
      <c r="D26" s="332" t="s">
        <v>198</v>
      </c>
      <c r="E26" s="333" t="s">
        <v>74</v>
      </c>
    </row>
    <row r="27" spans="2:5" x14ac:dyDescent="0.25">
      <c r="B27" s="332" t="s">
        <v>0</v>
      </c>
      <c r="C27" s="332">
        <v>1</v>
      </c>
      <c r="D27" s="332">
        <f>1152.36-68.41</f>
        <v>1083.9499999999998</v>
      </c>
      <c r="E27" s="349">
        <f>C27*D27</f>
        <v>1083.9499999999998</v>
      </c>
    </row>
    <row r="28" spans="2:5" x14ac:dyDescent="0.25">
      <c r="B28" s="332"/>
      <c r="C28" s="332">
        <v>1</v>
      </c>
      <c r="D28" s="332">
        <v>27.6</v>
      </c>
      <c r="E28" s="349">
        <f>C28*D28</f>
        <v>27.6</v>
      </c>
    </row>
    <row r="29" spans="2:5" x14ac:dyDescent="0.25">
      <c r="B29" s="332"/>
      <c r="C29" s="332">
        <v>1</v>
      </c>
      <c r="D29" s="332">
        <v>173.31</v>
      </c>
      <c r="E29" s="349">
        <f>C29*D29</f>
        <v>173.31</v>
      </c>
    </row>
    <row r="30" spans="2:5" x14ac:dyDescent="0.25">
      <c r="B30" s="332"/>
      <c r="C30" s="332">
        <v>1</v>
      </c>
      <c r="D30" s="332">
        <v>302.95999999999998</v>
      </c>
      <c r="E30" s="349">
        <f>C30*D30</f>
        <v>302.95999999999998</v>
      </c>
    </row>
    <row r="31" spans="2:5" x14ac:dyDescent="0.25">
      <c r="D31" s="335" t="s">
        <v>2869</v>
      </c>
      <c r="E31" s="350">
        <f>SUM(E27:E30)</f>
        <v>1587.8199999999997</v>
      </c>
    </row>
  </sheetData>
  <mergeCells count="1">
    <mergeCell ref="B2:E2"/>
  </mergeCells>
  <pageMargins left="1.01" right="0.511811024" top="0.78740157499999996" bottom="0.78740157499999996" header="0.31496062000000002" footer="0.31496062000000002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B2:P42"/>
  <sheetViews>
    <sheetView topLeftCell="A2" workbookViewId="0">
      <pane xSplit="1" ySplit="5" topLeftCell="B37" activePane="bottomRight" state="frozen"/>
      <selection activeCell="A2" sqref="A2"/>
      <selection pane="topRight" activeCell="B2" sqref="B2"/>
      <selection pane="bottomLeft" activeCell="A7" sqref="A7"/>
      <selection pane="bottomRight" activeCell="E39" sqref="E39"/>
    </sheetView>
  </sheetViews>
  <sheetFormatPr defaultRowHeight="15.75" x14ac:dyDescent="0.25"/>
  <cols>
    <col min="2" max="2" width="12.125" customWidth="1"/>
    <col min="3" max="3" width="9.75" customWidth="1"/>
    <col min="4" max="4" width="6.75" customWidth="1"/>
    <col min="5" max="5" width="67.625" bestFit="1" customWidth="1"/>
    <col min="6" max="8" width="9.75" customWidth="1"/>
    <col min="9" max="9" width="1.125" customWidth="1"/>
    <col min="12" max="12" width="10.125" customWidth="1"/>
  </cols>
  <sheetData>
    <row r="2" spans="2:16" ht="21" x14ac:dyDescent="0.35">
      <c r="D2" s="960" t="s">
        <v>2872</v>
      </c>
      <c r="E2" s="960"/>
      <c r="F2" s="960"/>
      <c r="G2" s="960"/>
      <c r="H2" s="960"/>
    </row>
    <row r="5" spans="2:16" x14ac:dyDescent="0.25">
      <c r="B5" s="957" t="s">
        <v>2873</v>
      </c>
      <c r="C5" s="957" t="s">
        <v>2438</v>
      </c>
      <c r="D5" s="957" t="s">
        <v>2378</v>
      </c>
      <c r="E5" s="957" t="s">
        <v>2428</v>
      </c>
      <c r="F5" s="959" t="s">
        <v>2874</v>
      </c>
      <c r="G5" s="959"/>
      <c r="H5" s="959"/>
      <c r="J5" s="957" t="s">
        <v>310</v>
      </c>
      <c r="K5" s="957" t="s">
        <v>310</v>
      </c>
      <c r="L5" s="958" t="s">
        <v>2875</v>
      </c>
    </row>
    <row r="6" spans="2:16" x14ac:dyDescent="0.25">
      <c r="B6" s="957"/>
      <c r="C6" s="957"/>
      <c r="D6" s="957"/>
      <c r="E6" s="957"/>
      <c r="F6" s="654" t="s">
        <v>2876</v>
      </c>
      <c r="G6" s="654" t="s">
        <v>2877</v>
      </c>
      <c r="H6" s="654" t="s">
        <v>2877</v>
      </c>
      <c r="J6" s="957"/>
      <c r="K6" s="957"/>
      <c r="L6" s="958"/>
    </row>
    <row r="7" spans="2:16" x14ac:dyDescent="0.25">
      <c r="B7" s="41"/>
      <c r="C7" s="41"/>
      <c r="D7" s="46"/>
      <c r="E7" s="339" t="s">
        <v>2040</v>
      </c>
      <c r="F7" s="42"/>
      <c r="G7" s="42"/>
      <c r="H7" s="42"/>
      <c r="J7" s="41"/>
      <c r="K7" s="41"/>
      <c r="L7" s="41"/>
    </row>
    <row r="8" spans="2:16" x14ac:dyDescent="0.25">
      <c r="B8" s="41" t="s">
        <v>315</v>
      </c>
      <c r="C8" s="46">
        <v>92317</v>
      </c>
      <c r="D8" s="46">
        <v>1</v>
      </c>
      <c r="E8" s="41" t="s">
        <v>2042</v>
      </c>
      <c r="F8" s="42">
        <v>2</v>
      </c>
      <c r="G8" s="42">
        <v>1</v>
      </c>
      <c r="H8" s="42">
        <v>2</v>
      </c>
      <c r="J8" s="54">
        <f>F8+G8+H8</f>
        <v>5</v>
      </c>
      <c r="K8" s="344">
        <v>9.61</v>
      </c>
      <c r="L8" s="54">
        <f>K8*J8</f>
        <v>48.05</v>
      </c>
    </row>
    <row r="9" spans="2:16" x14ac:dyDescent="0.25">
      <c r="B9" s="41" t="s">
        <v>315</v>
      </c>
      <c r="C9" s="46">
        <v>92326</v>
      </c>
      <c r="D9" s="46">
        <v>2</v>
      </c>
      <c r="E9" s="41" t="s">
        <v>2044</v>
      </c>
      <c r="F9" s="42">
        <v>2</v>
      </c>
      <c r="G9" s="42">
        <v>10</v>
      </c>
      <c r="H9" s="42">
        <v>13</v>
      </c>
      <c r="J9" s="54">
        <f t="shared" ref="J9:J41" si="0">F9+G9+H9</f>
        <v>25</v>
      </c>
      <c r="K9" s="41">
        <v>7.29</v>
      </c>
      <c r="L9" s="54">
        <f t="shared" ref="L9:L41" si="1">K9*J9</f>
        <v>182.25</v>
      </c>
    </row>
    <row r="10" spans="2:16" x14ac:dyDescent="0.25">
      <c r="B10" s="41" t="s">
        <v>315</v>
      </c>
      <c r="C10" s="46">
        <v>92320</v>
      </c>
      <c r="D10" s="46">
        <v>3</v>
      </c>
      <c r="E10" s="41" t="s">
        <v>2046</v>
      </c>
      <c r="F10" s="42"/>
      <c r="G10" s="42">
        <f>5+11+5</f>
        <v>21</v>
      </c>
      <c r="H10" s="42">
        <v>45</v>
      </c>
      <c r="J10" s="54">
        <f t="shared" si="0"/>
        <v>66</v>
      </c>
      <c r="K10" s="41">
        <v>22.7</v>
      </c>
      <c r="L10" s="54">
        <f t="shared" si="1"/>
        <v>1498.2</v>
      </c>
    </row>
    <row r="11" spans="2:16" x14ac:dyDescent="0.25">
      <c r="B11" s="41" t="s">
        <v>315</v>
      </c>
      <c r="C11" s="46">
        <v>92321</v>
      </c>
      <c r="D11" s="46">
        <v>4</v>
      </c>
      <c r="E11" s="41" t="s">
        <v>2048</v>
      </c>
      <c r="F11" s="42">
        <f>10+5+1+1+1+2</f>
        <v>20</v>
      </c>
      <c r="G11" s="42"/>
      <c r="H11" s="42">
        <f>5+7</f>
        <v>12</v>
      </c>
      <c r="J11" s="54">
        <f t="shared" si="0"/>
        <v>32</v>
      </c>
      <c r="K11" s="54">
        <v>37.08</v>
      </c>
      <c r="L11" s="54">
        <f t="shared" si="1"/>
        <v>1186.56</v>
      </c>
      <c r="N11">
        <v>50</v>
      </c>
      <c r="O11">
        <v>3.7999999999999999E-2</v>
      </c>
      <c r="P11">
        <f>N11*O11</f>
        <v>1.9</v>
      </c>
    </row>
    <row r="12" spans="2:16" x14ac:dyDescent="0.25">
      <c r="B12" s="41" t="s">
        <v>315</v>
      </c>
      <c r="C12" s="46">
        <v>92322</v>
      </c>
      <c r="D12" s="46">
        <v>5</v>
      </c>
      <c r="E12" s="41" t="s">
        <v>2050</v>
      </c>
      <c r="F12" s="42"/>
      <c r="G12" s="42"/>
      <c r="H12" s="42">
        <v>12</v>
      </c>
      <c r="J12" s="54">
        <f t="shared" si="0"/>
        <v>12</v>
      </c>
      <c r="K12" s="41">
        <v>47.8</v>
      </c>
      <c r="L12" s="54">
        <f t="shared" si="1"/>
        <v>573.59999999999991</v>
      </c>
    </row>
    <row r="13" spans="2:16" x14ac:dyDescent="0.25">
      <c r="B13" s="41" t="s">
        <v>315</v>
      </c>
      <c r="C13" s="46">
        <v>39138</v>
      </c>
      <c r="D13" s="46">
        <v>6</v>
      </c>
      <c r="E13" s="41" t="s">
        <v>2052</v>
      </c>
      <c r="F13" s="42">
        <v>2</v>
      </c>
      <c r="G13" s="42">
        <v>2</v>
      </c>
      <c r="H13" s="42">
        <v>2</v>
      </c>
      <c r="J13" s="54">
        <f t="shared" si="0"/>
        <v>6</v>
      </c>
      <c r="K13" s="41">
        <v>0.56999999999999995</v>
      </c>
      <c r="L13" s="54">
        <f t="shared" si="1"/>
        <v>3.42</v>
      </c>
    </row>
    <row r="14" spans="2:16" x14ac:dyDescent="0.25">
      <c r="B14" s="41" t="s">
        <v>315</v>
      </c>
      <c r="C14" s="46">
        <v>20061</v>
      </c>
      <c r="D14" s="46">
        <v>7</v>
      </c>
      <c r="E14" s="41" t="s">
        <v>2054</v>
      </c>
      <c r="F14" s="42">
        <v>2</v>
      </c>
      <c r="G14" s="42">
        <v>2</v>
      </c>
      <c r="H14" s="42">
        <v>2</v>
      </c>
      <c r="J14" s="54">
        <f t="shared" si="0"/>
        <v>6</v>
      </c>
      <c r="K14" s="41">
        <v>2.8</v>
      </c>
      <c r="L14" s="54">
        <f t="shared" si="1"/>
        <v>16.799999999999997</v>
      </c>
    </row>
    <row r="15" spans="2:16" x14ac:dyDescent="0.25">
      <c r="B15" s="41" t="s">
        <v>315</v>
      </c>
      <c r="C15" s="46">
        <v>4335</v>
      </c>
      <c r="D15" s="46">
        <v>10</v>
      </c>
      <c r="E15" s="41" t="s">
        <v>2056</v>
      </c>
      <c r="F15" s="42">
        <v>2</v>
      </c>
      <c r="G15" s="42">
        <v>4</v>
      </c>
      <c r="H15" s="42">
        <v>2</v>
      </c>
      <c r="J15" s="54">
        <f t="shared" si="0"/>
        <v>8</v>
      </c>
      <c r="K15" s="41">
        <v>4.38</v>
      </c>
      <c r="L15" s="54">
        <f t="shared" si="1"/>
        <v>35.04</v>
      </c>
    </row>
    <row r="16" spans="2:16" x14ac:dyDescent="0.25">
      <c r="B16" s="41" t="s">
        <v>315</v>
      </c>
      <c r="C16" s="46">
        <v>4375</v>
      </c>
      <c r="D16" s="46">
        <v>11</v>
      </c>
      <c r="E16" s="41" t="s">
        <v>2058</v>
      </c>
      <c r="F16" s="42">
        <v>2</v>
      </c>
      <c r="G16" s="42">
        <v>4</v>
      </c>
      <c r="H16" s="42">
        <v>2</v>
      </c>
      <c r="J16" s="54">
        <f t="shared" si="0"/>
        <v>8</v>
      </c>
      <c r="K16" s="41">
        <v>0.06</v>
      </c>
      <c r="L16" s="54">
        <f t="shared" si="1"/>
        <v>0.48</v>
      </c>
    </row>
    <row r="17" spans="2:12" x14ac:dyDescent="0.25">
      <c r="B17" s="41" t="s">
        <v>315</v>
      </c>
      <c r="C17" s="46">
        <v>1163</v>
      </c>
      <c r="D17" s="46">
        <v>12</v>
      </c>
      <c r="E17" s="41" t="s">
        <v>2060</v>
      </c>
      <c r="F17" s="42">
        <v>1</v>
      </c>
      <c r="G17" s="42"/>
      <c r="H17" s="42">
        <v>1</v>
      </c>
      <c r="J17" s="54">
        <f t="shared" si="0"/>
        <v>2</v>
      </c>
      <c r="K17" s="41">
        <v>1163</v>
      </c>
      <c r="L17" s="54">
        <f t="shared" si="1"/>
        <v>2326</v>
      </c>
    </row>
    <row r="18" spans="2:12" x14ac:dyDescent="0.25">
      <c r="B18" s="41" t="s">
        <v>315</v>
      </c>
      <c r="C18" s="46">
        <v>93108</v>
      </c>
      <c r="D18" s="46">
        <v>13</v>
      </c>
      <c r="E18" s="41" t="s">
        <v>2062</v>
      </c>
      <c r="F18" s="42"/>
      <c r="G18" s="42">
        <v>2</v>
      </c>
      <c r="H18" s="42"/>
      <c r="J18" s="54">
        <f t="shared" si="0"/>
        <v>2</v>
      </c>
      <c r="K18" s="41">
        <v>7.81</v>
      </c>
      <c r="L18" s="54">
        <f t="shared" si="1"/>
        <v>15.62</v>
      </c>
    </row>
    <row r="19" spans="2:12" x14ac:dyDescent="0.25">
      <c r="B19" s="41" t="s">
        <v>2878</v>
      </c>
      <c r="C19" s="46"/>
      <c r="D19" s="46">
        <v>14</v>
      </c>
      <c r="E19" s="41" t="s">
        <v>2879</v>
      </c>
      <c r="F19" s="42">
        <v>2</v>
      </c>
      <c r="G19" s="42"/>
      <c r="H19" s="42">
        <v>2</v>
      </c>
      <c r="J19" s="54">
        <f t="shared" si="0"/>
        <v>4</v>
      </c>
      <c r="K19" s="41">
        <v>1500</v>
      </c>
      <c r="L19" s="54">
        <f t="shared" si="1"/>
        <v>6000</v>
      </c>
    </row>
    <row r="20" spans="2:12" x14ac:dyDescent="0.25">
      <c r="B20" s="41" t="s">
        <v>2878</v>
      </c>
      <c r="C20" s="46"/>
      <c r="D20" s="46">
        <v>15</v>
      </c>
      <c r="E20" s="41" t="s">
        <v>2880</v>
      </c>
      <c r="F20" s="42"/>
      <c r="G20" s="42">
        <v>2</v>
      </c>
      <c r="H20" s="42"/>
      <c r="I20" s="338"/>
      <c r="J20" s="54">
        <f t="shared" si="0"/>
        <v>2</v>
      </c>
      <c r="K20" s="41">
        <v>120</v>
      </c>
      <c r="L20" s="54">
        <f t="shared" si="1"/>
        <v>240</v>
      </c>
    </row>
    <row r="21" spans="2:12" x14ac:dyDescent="0.25">
      <c r="B21" s="41" t="s">
        <v>320</v>
      </c>
      <c r="C21" s="41">
        <v>3698</v>
      </c>
      <c r="D21" s="46">
        <v>16</v>
      </c>
      <c r="E21" s="41" t="s">
        <v>2064</v>
      </c>
      <c r="F21" s="42">
        <v>2</v>
      </c>
      <c r="G21" s="42"/>
      <c r="H21" s="42">
        <v>2</v>
      </c>
      <c r="I21" s="338"/>
      <c r="J21" s="54">
        <f t="shared" si="0"/>
        <v>4</v>
      </c>
      <c r="K21" s="41">
        <v>20.82</v>
      </c>
      <c r="L21" s="54">
        <f t="shared" si="1"/>
        <v>83.28</v>
      </c>
    </row>
    <row r="22" spans="2:12" x14ac:dyDescent="0.25">
      <c r="B22" s="41" t="s">
        <v>315</v>
      </c>
      <c r="C22" s="41">
        <v>92904</v>
      </c>
      <c r="D22" s="46">
        <v>17</v>
      </c>
      <c r="E22" s="41" t="s">
        <v>2066</v>
      </c>
      <c r="F22" s="42">
        <v>2</v>
      </c>
      <c r="G22" s="42">
        <v>2</v>
      </c>
      <c r="H22" s="42">
        <v>2</v>
      </c>
      <c r="I22" s="340"/>
      <c r="J22" s="54">
        <f t="shared" si="0"/>
        <v>6</v>
      </c>
      <c r="K22" s="41">
        <v>16.559999999999999</v>
      </c>
      <c r="L22" s="54">
        <f t="shared" si="1"/>
        <v>99.359999999999985</v>
      </c>
    </row>
    <row r="23" spans="2:12" x14ac:dyDescent="0.25">
      <c r="B23" s="41" t="s">
        <v>315</v>
      </c>
      <c r="C23" s="41" t="s">
        <v>2881</v>
      </c>
      <c r="D23" s="46">
        <v>19</v>
      </c>
      <c r="E23" s="341" t="s">
        <v>2068</v>
      </c>
      <c r="F23" s="42">
        <v>2</v>
      </c>
      <c r="G23" s="42">
        <v>2</v>
      </c>
      <c r="H23" s="42">
        <v>2</v>
      </c>
      <c r="J23" s="54">
        <f t="shared" si="0"/>
        <v>6</v>
      </c>
      <c r="K23" s="41">
        <v>41.9</v>
      </c>
      <c r="L23" s="54">
        <f t="shared" si="1"/>
        <v>251.39999999999998</v>
      </c>
    </row>
    <row r="24" spans="2:12" x14ac:dyDescent="0.25">
      <c r="B24" s="41" t="s">
        <v>320</v>
      </c>
      <c r="C24" s="41">
        <v>9092</v>
      </c>
      <c r="D24" s="46">
        <v>20</v>
      </c>
      <c r="E24" s="41" t="s">
        <v>2070</v>
      </c>
      <c r="F24" s="42">
        <v>1</v>
      </c>
      <c r="G24" s="42">
        <v>1</v>
      </c>
      <c r="H24" s="42">
        <v>1</v>
      </c>
      <c r="J24" s="54">
        <f t="shared" si="0"/>
        <v>3</v>
      </c>
      <c r="K24" s="41">
        <v>543.73</v>
      </c>
      <c r="L24" s="54">
        <f t="shared" si="1"/>
        <v>1631.19</v>
      </c>
    </row>
    <row r="25" spans="2:12" x14ac:dyDescent="0.25">
      <c r="B25" s="41" t="s">
        <v>315</v>
      </c>
      <c r="C25" s="41">
        <v>92692</v>
      </c>
      <c r="D25" s="46">
        <v>21</v>
      </c>
      <c r="E25" s="41" t="s">
        <v>2072</v>
      </c>
      <c r="F25" s="42">
        <v>2</v>
      </c>
      <c r="G25" s="42">
        <v>4</v>
      </c>
      <c r="H25" s="42">
        <v>2</v>
      </c>
      <c r="J25" s="54">
        <f t="shared" si="0"/>
        <v>8</v>
      </c>
      <c r="K25" s="41">
        <v>6.95</v>
      </c>
      <c r="L25" s="54">
        <f t="shared" si="1"/>
        <v>55.6</v>
      </c>
    </row>
    <row r="26" spans="2:12" x14ac:dyDescent="0.25">
      <c r="B26" s="41" t="s">
        <v>320</v>
      </c>
      <c r="C26" s="41">
        <v>666</v>
      </c>
      <c r="D26" s="46">
        <v>22</v>
      </c>
      <c r="E26" s="41" t="s">
        <v>2074</v>
      </c>
      <c r="F26" s="42">
        <v>1</v>
      </c>
      <c r="G26" s="42">
        <v>1</v>
      </c>
      <c r="H26" s="42">
        <v>1</v>
      </c>
      <c r="J26" s="54">
        <f t="shared" si="0"/>
        <v>3</v>
      </c>
      <c r="K26" s="41">
        <v>55</v>
      </c>
      <c r="L26" s="54">
        <f t="shared" si="1"/>
        <v>165</v>
      </c>
    </row>
    <row r="27" spans="2:12" x14ac:dyDescent="0.25">
      <c r="B27" s="41"/>
      <c r="C27" s="41"/>
      <c r="D27" s="46"/>
      <c r="E27" s="339" t="s">
        <v>2075</v>
      </c>
      <c r="F27" s="42"/>
      <c r="G27" s="42"/>
      <c r="H27" s="42"/>
      <c r="J27" s="54">
        <f t="shared" si="0"/>
        <v>0</v>
      </c>
      <c r="K27" s="41"/>
      <c r="L27" s="54">
        <f t="shared" si="1"/>
        <v>0</v>
      </c>
    </row>
    <row r="28" spans="2:12" x14ac:dyDescent="0.25">
      <c r="B28" s="41" t="s">
        <v>315</v>
      </c>
      <c r="C28" s="41">
        <v>739161</v>
      </c>
      <c r="D28" s="46">
        <v>23</v>
      </c>
      <c r="E28" s="41" t="s">
        <v>2077</v>
      </c>
      <c r="F28" s="42">
        <v>1</v>
      </c>
      <c r="G28" s="42">
        <v>1</v>
      </c>
      <c r="H28" s="42">
        <v>1</v>
      </c>
      <c r="J28" s="54">
        <f t="shared" si="0"/>
        <v>3</v>
      </c>
      <c r="K28" s="41">
        <v>31.02</v>
      </c>
      <c r="L28" s="54">
        <f t="shared" si="1"/>
        <v>93.06</v>
      </c>
    </row>
    <row r="29" spans="2:12" x14ac:dyDescent="0.25">
      <c r="B29" s="41" t="s">
        <v>315</v>
      </c>
      <c r="C29" s="41">
        <v>739161</v>
      </c>
      <c r="D29" s="46">
        <v>24</v>
      </c>
      <c r="E29" s="41" t="s">
        <v>2079</v>
      </c>
      <c r="F29" s="42">
        <v>3</v>
      </c>
      <c r="G29" s="42">
        <v>3</v>
      </c>
      <c r="H29" s="42">
        <v>3</v>
      </c>
      <c r="J29" s="54">
        <f t="shared" si="0"/>
        <v>9</v>
      </c>
      <c r="K29" s="41">
        <v>31.02</v>
      </c>
      <c r="L29" s="54">
        <f t="shared" si="1"/>
        <v>279.18</v>
      </c>
    </row>
    <row r="30" spans="2:12" x14ac:dyDescent="0.25">
      <c r="B30" s="41" t="s">
        <v>315</v>
      </c>
      <c r="C30" s="41">
        <v>83635</v>
      </c>
      <c r="D30" s="46">
        <v>25</v>
      </c>
      <c r="E30" s="41" t="s">
        <v>2081</v>
      </c>
      <c r="F30" s="42">
        <v>1</v>
      </c>
      <c r="G30" s="42">
        <v>1</v>
      </c>
      <c r="H30" s="42">
        <v>1</v>
      </c>
      <c r="J30" s="54">
        <f t="shared" si="0"/>
        <v>3</v>
      </c>
      <c r="K30" s="41">
        <v>193.61</v>
      </c>
      <c r="L30" s="54">
        <f t="shared" si="1"/>
        <v>580.83000000000004</v>
      </c>
    </row>
    <row r="31" spans="2:12" x14ac:dyDescent="0.25">
      <c r="B31" s="41" t="s">
        <v>315</v>
      </c>
      <c r="C31" s="41">
        <v>84665</v>
      </c>
      <c r="D31" s="46">
        <v>26</v>
      </c>
      <c r="E31" s="41" t="s">
        <v>2083</v>
      </c>
      <c r="F31" s="42">
        <v>1</v>
      </c>
      <c r="G31" s="42">
        <v>1</v>
      </c>
      <c r="H31" s="42">
        <v>1</v>
      </c>
      <c r="J31" s="54">
        <f t="shared" si="0"/>
        <v>3</v>
      </c>
      <c r="K31" s="41">
        <v>14.41</v>
      </c>
      <c r="L31" s="54">
        <f t="shared" si="1"/>
        <v>43.230000000000004</v>
      </c>
    </row>
    <row r="32" spans="2:12" x14ac:dyDescent="0.25">
      <c r="B32" s="41" t="s">
        <v>315</v>
      </c>
      <c r="C32" s="41">
        <v>94975</v>
      </c>
      <c r="D32" s="46">
        <v>27</v>
      </c>
      <c r="E32" s="41" t="s">
        <v>2085</v>
      </c>
      <c r="F32" s="42">
        <f>1*(0.15*0.15*0.3)</f>
        <v>6.7499999999999999E-3</v>
      </c>
      <c r="G32" s="42">
        <f>1*(0.15*0.15*0.3)</f>
        <v>6.7499999999999999E-3</v>
      </c>
      <c r="H32" s="42">
        <f>7*(0.15*0.15*0.3)</f>
        <v>4.725E-2</v>
      </c>
      <c r="J32" s="54">
        <f t="shared" si="0"/>
        <v>6.0749999999999998E-2</v>
      </c>
      <c r="K32" s="41">
        <v>348.48</v>
      </c>
      <c r="L32" s="54">
        <f t="shared" si="1"/>
        <v>21.170159999999999</v>
      </c>
    </row>
    <row r="33" spans="2:12" x14ac:dyDescent="0.25">
      <c r="B33" s="41"/>
      <c r="C33" s="41"/>
      <c r="D33" s="46"/>
      <c r="E33" s="343" t="s">
        <v>2086</v>
      </c>
      <c r="F33" s="42"/>
      <c r="G33" s="42"/>
      <c r="H33" s="42"/>
      <c r="J33" s="54">
        <f t="shared" si="0"/>
        <v>0</v>
      </c>
      <c r="K33" s="41"/>
      <c r="L33" s="54">
        <f t="shared" si="1"/>
        <v>0</v>
      </c>
    </row>
    <row r="34" spans="2:12" x14ac:dyDescent="0.25">
      <c r="B34" s="41" t="s">
        <v>315</v>
      </c>
      <c r="C34" s="41">
        <v>83519</v>
      </c>
      <c r="D34" s="46">
        <v>28</v>
      </c>
      <c r="E34" s="41" t="s">
        <v>2088</v>
      </c>
      <c r="F34" s="42">
        <f>(1.5*2+3.4)*0.2*0.14</f>
        <v>0.17920000000000005</v>
      </c>
      <c r="G34" s="42">
        <f>(0.75*2+1.5)*0.2*0.14</f>
        <v>8.4000000000000019E-2</v>
      </c>
      <c r="H34" s="42">
        <f>(1.5*2+3.4)*0.2*0.14</f>
        <v>0.17920000000000005</v>
      </c>
      <c r="J34" s="54">
        <f t="shared" si="0"/>
        <v>0.44240000000000013</v>
      </c>
      <c r="K34" s="41">
        <v>376.36</v>
      </c>
      <c r="L34" s="54">
        <f t="shared" si="1"/>
        <v>166.50166400000006</v>
      </c>
    </row>
    <row r="35" spans="2:12" x14ac:dyDescent="0.25">
      <c r="B35" s="41" t="s">
        <v>315</v>
      </c>
      <c r="C35" s="345">
        <v>83532</v>
      </c>
      <c r="D35" s="46">
        <v>29</v>
      </c>
      <c r="E35" s="41" t="s">
        <v>2090</v>
      </c>
      <c r="F35" s="42">
        <f>1.2*3.1*0.05</f>
        <v>0.186</v>
      </c>
      <c r="G35" s="42">
        <f>1.3*0.75*0.05</f>
        <v>4.8750000000000009E-2</v>
      </c>
      <c r="H35" s="42">
        <f>1.2*3.1*0.05</f>
        <v>0.186</v>
      </c>
      <c r="J35" s="54">
        <f t="shared" si="0"/>
        <v>0.42075000000000001</v>
      </c>
      <c r="K35" s="41">
        <v>357.64</v>
      </c>
      <c r="L35" s="54">
        <f t="shared" si="1"/>
        <v>150.47702999999998</v>
      </c>
    </row>
    <row r="36" spans="2:12" x14ac:dyDescent="0.25">
      <c r="B36" s="41" t="s">
        <v>315</v>
      </c>
      <c r="C36" s="345">
        <v>89043</v>
      </c>
      <c r="D36" s="46">
        <v>30</v>
      </c>
      <c r="E36" s="41" t="s">
        <v>2092</v>
      </c>
      <c r="F36" s="42">
        <f>3.4*1.1+1.5*1.1*2</f>
        <v>7.0400000000000009</v>
      </c>
      <c r="G36" s="42">
        <f>1.5*1.1+0.75*1.1*2</f>
        <v>3.3000000000000003</v>
      </c>
      <c r="H36" s="42">
        <f>3.4*1.1+1.5*1.1*2</f>
        <v>7.0400000000000009</v>
      </c>
      <c r="J36" s="54">
        <f t="shared" si="0"/>
        <v>17.380000000000003</v>
      </c>
      <c r="K36" s="41">
        <v>49.91</v>
      </c>
      <c r="L36" s="54">
        <f t="shared" si="1"/>
        <v>867.43580000000009</v>
      </c>
    </row>
    <row r="37" spans="2:12" x14ac:dyDescent="0.25">
      <c r="B37" s="41" t="s">
        <v>315</v>
      </c>
      <c r="C37" s="345" t="s">
        <v>612</v>
      </c>
      <c r="D37" s="46">
        <v>31</v>
      </c>
      <c r="E37" s="41" t="s">
        <v>2094</v>
      </c>
      <c r="F37" s="42">
        <f>(1.5+0.15+0.1)*3.4</f>
        <v>5.95</v>
      </c>
      <c r="G37" s="42">
        <f>(0.75+0.15+0.1)*1.5</f>
        <v>1.5</v>
      </c>
      <c r="H37" s="42">
        <f>(1.5+0.15+0.1)*3.4</f>
        <v>5.95</v>
      </c>
      <c r="J37" s="54">
        <f t="shared" si="0"/>
        <v>13.4</v>
      </c>
      <c r="K37" s="41">
        <v>57.32</v>
      </c>
      <c r="L37" s="54">
        <f t="shared" si="1"/>
        <v>768.08800000000008</v>
      </c>
    </row>
    <row r="38" spans="2:12" x14ac:dyDescent="0.25">
      <c r="B38" s="41" t="s">
        <v>2882</v>
      </c>
      <c r="C38" s="41">
        <v>87794</v>
      </c>
      <c r="D38" s="46">
        <v>32</v>
      </c>
      <c r="E38" s="41" t="s">
        <v>2096</v>
      </c>
      <c r="F38" s="42">
        <f>F36*2</f>
        <v>14.080000000000002</v>
      </c>
      <c r="G38" s="42">
        <f>G36*2</f>
        <v>6.6000000000000005</v>
      </c>
      <c r="H38" s="42">
        <f>H36*2</f>
        <v>14.080000000000002</v>
      </c>
      <c r="J38" s="54">
        <f t="shared" si="0"/>
        <v>34.760000000000005</v>
      </c>
      <c r="K38" s="41">
        <v>21.2</v>
      </c>
      <c r="L38" s="54">
        <f t="shared" si="1"/>
        <v>736.91200000000003</v>
      </c>
    </row>
    <row r="39" spans="2:12" x14ac:dyDescent="0.25">
      <c r="B39" s="41"/>
      <c r="C39" s="41"/>
      <c r="D39" s="46">
        <v>33</v>
      </c>
      <c r="E39" s="41" t="s">
        <v>2098</v>
      </c>
      <c r="F39" s="42">
        <f>1.3*1</f>
        <v>1.3</v>
      </c>
      <c r="G39" s="42">
        <f>1.3*1</f>
        <v>1.3</v>
      </c>
      <c r="H39" s="42">
        <f>1.3*1</f>
        <v>1.3</v>
      </c>
      <c r="J39" s="54">
        <f t="shared" si="0"/>
        <v>3.9000000000000004</v>
      </c>
      <c r="K39" s="41"/>
      <c r="L39" s="54">
        <f t="shared" si="1"/>
        <v>0</v>
      </c>
    </row>
    <row r="40" spans="2:12" x14ac:dyDescent="0.25">
      <c r="B40" s="41"/>
      <c r="C40" s="41"/>
      <c r="D40" s="46">
        <v>34</v>
      </c>
      <c r="E40" s="41" t="s">
        <v>2100</v>
      </c>
      <c r="F40" s="42">
        <f>3.1*2</f>
        <v>6.2</v>
      </c>
      <c r="G40" s="42"/>
      <c r="H40" s="42">
        <f>3.1*2</f>
        <v>6.2</v>
      </c>
      <c r="J40" s="54">
        <f t="shared" si="0"/>
        <v>12.4</v>
      </c>
      <c r="K40" s="41"/>
      <c r="L40" s="54">
        <f t="shared" si="1"/>
        <v>0</v>
      </c>
    </row>
    <row r="41" spans="2:12" x14ac:dyDescent="0.25">
      <c r="B41" s="41" t="s">
        <v>2882</v>
      </c>
      <c r="C41" s="41">
        <v>88416</v>
      </c>
      <c r="D41" s="46">
        <v>88416</v>
      </c>
      <c r="E41" s="41" t="s">
        <v>2102</v>
      </c>
      <c r="F41" s="42">
        <f>F38</f>
        <v>14.080000000000002</v>
      </c>
      <c r="G41" s="42">
        <f>G38</f>
        <v>6.6000000000000005</v>
      </c>
      <c r="H41" s="42">
        <f>H38</f>
        <v>14.080000000000002</v>
      </c>
      <c r="J41" s="54">
        <f t="shared" si="0"/>
        <v>34.760000000000005</v>
      </c>
      <c r="K41" s="41">
        <v>12.06</v>
      </c>
      <c r="L41" s="54">
        <f t="shared" si="1"/>
        <v>419.20560000000006</v>
      </c>
    </row>
    <row r="42" spans="2:12" x14ac:dyDescent="0.25">
      <c r="F42" s="342" t="s">
        <v>2883</v>
      </c>
      <c r="G42" s="342" t="s">
        <v>2884</v>
      </c>
      <c r="H42" s="342" t="s">
        <v>2884</v>
      </c>
      <c r="L42" s="164">
        <f>SUM(L8:L41)</f>
        <v>18537.940254000001</v>
      </c>
    </row>
  </sheetData>
  <mergeCells count="9">
    <mergeCell ref="D2:H2"/>
    <mergeCell ref="J5:J6"/>
    <mergeCell ref="B5:B6"/>
    <mergeCell ref="C5:C6"/>
    <mergeCell ref="K5:K6"/>
    <mergeCell ref="L5:L6"/>
    <mergeCell ref="F5:H5"/>
    <mergeCell ref="E5:E6"/>
    <mergeCell ref="D5:D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B3:H24"/>
  <sheetViews>
    <sheetView workbookViewId="0">
      <selection activeCell="E6" sqref="E6"/>
    </sheetView>
  </sheetViews>
  <sheetFormatPr defaultRowHeight="15.75" x14ac:dyDescent="0.25"/>
  <cols>
    <col min="2" max="2" width="6.25" customWidth="1"/>
    <col min="3" max="3" width="58.125" bestFit="1" customWidth="1"/>
    <col min="4" max="4" width="17.5" bestFit="1" customWidth="1"/>
    <col min="8" max="8" width="61.375" customWidth="1"/>
    <col min="10" max="10" width="4.25" customWidth="1"/>
  </cols>
  <sheetData>
    <row r="3" spans="2:8" x14ac:dyDescent="0.25">
      <c r="B3" s="963" t="s">
        <v>2885</v>
      </c>
      <c r="C3" s="963"/>
      <c r="D3" s="963"/>
    </row>
    <row r="5" spans="2:8" x14ac:dyDescent="0.25">
      <c r="B5" s="166" t="s">
        <v>2378</v>
      </c>
      <c r="C5" s="166" t="s">
        <v>2886</v>
      </c>
      <c r="D5" s="166" t="s">
        <v>2887</v>
      </c>
      <c r="H5" s="655"/>
    </row>
    <row r="6" spans="2:8" x14ac:dyDescent="0.25">
      <c r="B6" s="545">
        <v>1</v>
      </c>
      <c r="C6" s="542" t="s">
        <v>2888</v>
      </c>
      <c r="D6" s="543">
        <v>12</v>
      </c>
      <c r="H6" s="341"/>
    </row>
    <row r="7" spans="2:8" x14ac:dyDescent="0.25">
      <c r="B7" s="545">
        <v>2</v>
      </c>
      <c r="C7" s="542" t="s">
        <v>2889</v>
      </c>
      <c r="D7" s="543">
        <v>65</v>
      </c>
      <c r="H7" s="341"/>
    </row>
    <row r="8" spans="2:8" x14ac:dyDescent="0.25">
      <c r="B8" s="545">
        <v>3</v>
      </c>
      <c r="C8" s="542" t="s">
        <v>2890</v>
      </c>
      <c r="D8" s="543">
        <v>10</v>
      </c>
      <c r="H8" s="341"/>
    </row>
    <row r="9" spans="2:8" x14ac:dyDescent="0.25">
      <c r="B9" s="545">
        <v>4</v>
      </c>
      <c r="C9" s="542" t="s">
        <v>2891</v>
      </c>
      <c r="D9" s="543">
        <v>14</v>
      </c>
      <c r="H9" s="341"/>
    </row>
    <row r="10" spans="2:8" x14ac:dyDescent="0.25">
      <c r="B10" s="545">
        <v>5</v>
      </c>
      <c r="C10" s="542" t="s">
        <v>2892</v>
      </c>
      <c r="D10" s="543">
        <v>12</v>
      </c>
      <c r="H10" s="341"/>
    </row>
    <row r="11" spans="2:8" x14ac:dyDescent="0.25">
      <c r="B11" s="545">
        <v>6</v>
      </c>
      <c r="C11" s="542" t="s">
        <v>2893</v>
      </c>
      <c r="D11" s="543">
        <v>16</v>
      </c>
      <c r="H11" s="341"/>
    </row>
    <row r="12" spans="2:8" x14ac:dyDescent="0.25">
      <c r="B12" s="545">
        <v>7</v>
      </c>
      <c r="C12" s="542" t="s">
        <v>1775</v>
      </c>
      <c r="D12" s="543">
        <v>12</v>
      </c>
      <c r="H12" s="341"/>
    </row>
    <row r="13" spans="2:8" x14ac:dyDescent="0.25">
      <c r="B13" s="545">
        <v>8</v>
      </c>
      <c r="C13" s="542" t="s">
        <v>2894</v>
      </c>
      <c r="D13" s="543">
        <v>6</v>
      </c>
    </row>
    <row r="14" spans="2:8" x14ac:dyDescent="0.25">
      <c r="B14" s="545">
        <v>9</v>
      </c>
      <c r="C14" s="542" t="s">
        <v>2895</v>
      </c>
      <c r="D14" s="543">
        <v>21</v>
      </c>
    </row>
    <row r="15" spans="2:8" x14ac:dyDescent="0.25">
      <c r="B15" s="545">
        <v>10</v>
      </c>
      <c r="C15" s="542" t="s">
        <v>2896</v>
      </c>
      <c r="D15" s="543">
        <v>17</v>
      </c>
    </row>
    <row r="16" spans="2:8" x14ac:dyDescent="0.25">
      <c r="B16" s="545">
        <v>11</v>
      </c>
      <c r="C16" s="542" t="s">
        <v>2897</v>
      </c>
      <c r="D16" s="543">
        <v>8</v>
      </c>
    </row>
    <row r="17" spans="2:4" x14ac:dyDescent="0.25">
      <c r="B17" s="545">
        <v>12</v>
      </c>
      <c r="C17" s="542" t="s">
        <v>2898</v>
      </c>
      <c r="D17" s="543">
        <f>20+16</f>
        <v>36</v>
      </c>
    </row>
    <row r="18" spans="2:4" x14ac:dyDescent="0.25">
      <c r="B18" s="545">
        <v>13</v>
      </c>
      <c r="C18" s="542" t="s">
        <v>2899</v>
      </c>
      <c r="D18" s="543">
        <v>17</v>
      </c>
    </row>
    <row r="19" spans="2:4" x14ac:dyDescent="0.25">
      <c r="B19" s="545">
        <v>14</v>
      </c>
      <c r="C19" s="43" t="s">
        <v>2900</v>
      </c>
      <c r="D19" s="543">
        <v>5</v>
      </c>
    </row>
    <row r="20" spans="2:4" x14ac:dyDescent="0.25">
      <c r="B20" s="545"/>
      <c r="C20" s="542" t="s">
        <v>2901</v>
      </c>
      <c r="D20" s="543">
        <v>14</v>
      </c>
    </row>
    <row r="21" spans="2:4" x14ac:dyDescent="0.25">
      <c r="B21" s="545">
        <v>15</v>
      </c>
      <c r="C21" s="542" t="s">
        <v>2902</v>
      </c>
      <c r="D21" s="543">
        <v>5</v>
      </c>
    </row>
    <row r="22" spans="2:4" x14ac:dyDescent="0.25">
      <c r="B22" s="961" t="s">
        <v>2903</v>
      </c>
      <c r="C22" s="961"/>
      <c r="D22" s="166">
        <f>SUM(D6:D21)</f>
        <v>270</v>
      </c>
    </row>
    <row r="23" spans="2:4" x14ac:dyDescent="0.25">
      <c r="B23" s="962" t="s">
        <v>2904</v>
      </c>
      <c r="C23" s="962"/>
      <c r="D23" s="46">
        <v>8</v>
      </c>
    </row>
    <row r="24" spans="2:4" x14ac:dyDescent="0.25">
      <c r="B24" s="961" t="s">
        <v>2905</v>
      </c>
      <c r="C24" s="961" t="s">
        <v>2906</v>
      </c>
      <c r="D24" s="166">
        <f>D22*D23</f>
        <v>2160</v>
      </c>
    </row>
  </sheetData>
  <mergeCells count="4">
    <mergeCell ref="B22:C22"/>
    <mergeCell ref="B23:C23"/>
    <mergeCell ref="B24:C24"/>
    <mergeCell ref="B3:D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W623"/>
  <sheetViews>
    <sheetView workbookViewId="0">
      <pane xSplit="1" ySplit="3" topLeftCell="B4" activePane="bottomRight" state="frozen"/>
      <selection activeCell="K273" sqref="K273:K318"/>
      <selection pane="topRight" activeCell="K273" sqref="K273:K318"/>
      <selection pane="bottomLeft" activeCell="K273" sqref="K273:K318"/>
      <selection pane="bottomRight" activeCell="I8" sqref="I8"/>
    </sheetView>
  </sheetViews>
  <sheetFormatPr defaultRowHeight="15.75" x14ac:dyDescent="0.25"/>
  <cols>
    <col min="1" max="1" width="6.625" customWidth="1"/>
    <col min="2" max="2" width="36.375" customWidth="1"/>
    <col min="3" max="3" width="8.5" customWidth="1"/>
    <col min="4" max="4" width="10.125" customWidth="1"/>
    <col min="5" max="5" width="7.75" customWidth="1"/>
    <col min="6" max="6" width="2.625" style="44" bestFit="1" customWidth="1"/>
    <col min="7" max="7" width="10.875" customWidth="1"/>
    <col min="8" max="8" width="2.375" customWidth="1"/>
    <col min="9" max="9" width="10.125" customWidth="1"/>
    <col min="10" max="10" width="2.625" customWidth="1"/>
    <col min="11" max="11" width="9.75" customWidth="1"/>
    <col min="12" max="12" width="2.625" customWidth="1"/>
    <col min="13" max="13" width="8.25" customWidth="1"/>
    <col min="14" max="14" width="3.125" customWidth="1"/>
    <col min="15" max="15" width="8.5" customWidth="1"/>
    <col min="16" max="16" width="2.875" customWidth="1"/>
    <col min="17" max="17" width="8.75" customWidth="1"/>
    <col min="18" max="18" width="2.625" bestFit="1" customWidth="1"/>
    <col min="19" max="19" width="7.125" customWidth="1"/>
    <col min="22" max="22" width="9.375" bestFit="1" customWidth="1"/>
  </cols>
  <sheetData>
    <row r="1" spans="2:20" ht="16.5" x14ac:dyDescent="0.3">
      <c r="B1" s="968" t="s">
        <v>2907</v>
      </c>
      <c r="C1" s="968"/>
      <c r="D1" s="968"/>
      <c r="E1" s="968"/>
      <c r="F1" s="968"/>
      <c r="G1" s="968"/>
      <c r="H1" s="968"/>
      <c r="I1" s="968"/>
      <c r="J1" s="968"/>
      <c r="K1" s="968"/>
      <c r="L1" s="968"/>
      <c r="M1" s="968"/>
      <c r="N1" s="968"/>
      <c r="O1" s="968"/>
      <c r="P1" s="968"/>
      <c r="Q1" s="968"/>
      <c r="R1" s="968"/>
      <c r="S1" s="968"/>
    </row>
    <row r="2" spans="2:20" ht="16.5" x14ac:dyDescent="0.3">
      <c r="B2" s="127"/>
      <c r="C2" s="127"/>
      <c r="D2" s="127"/>
      <c r="E2" s="127"/>
      <c r="F2" s="146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</row>
    <row r="3" spans="2:20" ht="28.5" customHeight="1" x14ac:dyDescent="0.25">
      <c r="B3" s="103" t="s">
        <v>2570</v>
      </c>
      <c r="C3" s="103" t="s">
        <v>198</v>
      </c>
      <c r="D3" s="103" t="s">
        <v>2571</v>
      </c>
      <c r="E3" s="153" t="s">
        <v>2908</v>
      </c>
      <c r="F3" s="964" t="s">
        <v>2909</v>
      </c>
      <c r="G3" s="965"/>
      <c r="H3" s="964" t="s">
        <v>2910</v>
      </c>
      <c r="I3" s="965"/>
      <c r="J3" s="964" t="s">
        <v>2911</v>
      </c>
      <c r="K3" s="965"/>
      <c r="L3" s="964" t="s">
        <v>2912</v>
      </c>
      <c r="M3" s="965"/>
      <c r="N3" s="964" t="s">
        <v>2913</v>
      </c>
      <c r="O3" s="965"/>
      <c r="P3" s="964" t="s">
        <v>2914</v>
      </c>
      <c r="Q3" s="965"/>
      <c r="R3" s="964" t="s">
        <v>2915</v>
      </c>
      <c r="S3" s="965"/>
    </row>
    <row r="4" spans="2:20" ht="16.5" x14ac:dyDescent="0.25">
      <c r="B4" s="656" t="s">
        <v>2584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4"/>
    </row>
    <row r="5" spans="2:20" ht="16.5" x14ac:dyDescent="0.3">
      <c r="B5" s="136" t="s">
        <v>2585</v>
      </c>
      <c r="C5" s="150"/>
      <c r="D5" s="150"/>
      <c r="E5" s="150"/>
      <c r="F5" s="14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47" t="str">
        <f t="shared" ref="T5:T68" si="0">IF(COUNT(F5:S5)&gt;1,"Corrigir!","OK!")</f>
        <v>OK!</v>
      </c>
    </row>
    <row r="6" spans="2:20" ht="16.5" x14ac:dyDescent="0.3">
      <c r="B6" s="129" t="s">
        <v>2587</v>
      </c>
      <c r="C6" s="150">
        <v>7.88</v>
      </c>
      <c r="D6" s="150">
        <v>11.5</v>
      </c>
      <c r="E6" s="150"/>
      <c r="F6" s="148" t="s">
        <v>2916</v>
      </c>
      <c r="G6" s="128">
        <f>IF(F6="x",$C6,"")</f>
        <v>7.88</v>
      </c>
      <c r="H6" s="128"/>
      <c r="I6" s="128" t="str">
        <f>IF(H6="x",$C6,"")</f>
        <v/>
      </c>
      <c r="J6" s="128"/>
      <c r="K6" s="128" t="str">
        <f>IF(J6="x",$C6,"")</f>
        <v/>
      </c>
      <c r="L6" s="128"/>
      <c r="M6" s="128" t="str">
        <f>IF(L6="x",$C6,"")</f>
        <v/>
      </c>
      <c r="N6" s="148"/>
      <c r="O6" s="128" t="str">
        <f>IF(N6="x",$C6,"")</f>
        <v/>
      </c>
      <c r="P6" s="148"/>
      <c r="Q6" s="128" t="str">
        <f>IF(P6="x",$C6,"")</f>
        <v/>
      </c>
      <c r="R6" s="148"/>
      <c r="S6" s="128" t="str">
        <f>IF(R6="x",$C6,"")</f>
        <v/>
      </c>
      <c r="T6" s="47" t="str">
        <f t="shared" si="0"/>
        <v>OK!</v>
      </c>
    </row>
    <row r="7" spans="2:20" ht="16.5" x14ac:dyDescent="0.3">
      <c r="B7" s="129" t="s">
        <v>2588</v>
      </c>
      <c r="C7" s="150">
        <v>7.76</v>
      </c>
      <c r="D7" s="150">
        <v>11.45</v>
      </c>
      <c r="E7" s="150"/>
      <c r="F7" s="148" t="s">
        <v>2916</v>
      </c>
      <c r="G7" s="128">
        <f t="shared" ref="G7:G69" si="1">IF(F7="x",$C7,"")</f>
        <v>7.76</v>
      </c>
      <c r="H7" s="128"/>
      <c r="I7" s="128" t="str">
        <f t="shared" ref="I7:I70" si="2">IF(H7="x",$C7,"")</f>
        <v/>
      </c>
      <c r="J7" s="128"/>
      <c r="K7" s="128" t="str">
        <f t="shared" ref="K7:K70" si="3">IF(J7="x",$C7,"")</f>
        <v/>
      </c>
      <c r="L7" s="128"/>
      <c r="M7" s="128" t="str">
        <f t="shared" ref="M7:M70" si="4">IF(L7="x",$C7,"")</f>
        <v/>
      </c>
      <c r="N7" s="148"/>
      <c r="O7" s="128" t="str">
        <f t="shared" ref="O7:O70" si="5">IF(N7="x",$C7,"")</f>
        <v/>
      </c>
      <c r="P7" s="148"/>
      <c r="Q7" s="128" t="str">
        <f t="shared" ref="Q7:Q70" si="6">IF(P7="x",$C7,"")</f>
        <v/>
      </c>
      <c r="R7" s="148"/>
      <c r="S7" s="128" t="str">
        <f t="shared" ref="S7:S70" si="7">IF(R7="x",$C7,"")</f>
        <v/>
      </c>
      <c r="T7" s="47" t="str">
        <f t="shared" si="0"/>
        <v>OK!</v>
      </c>
    </row>
    <row r="8" spans="2:20" ht="16.5" x14ac:dyDescent="0.3">
      <c r="B8" s="129" t="s">
        <v>2589</v>
      </c>
      <c r="C8" s="150">
        <v>7.34</v>
      </c>
      <c r="D8" s="150">
        <v>11.05</v>
      </c>
      <c r="E8" s="150"/>
      <c r="F8" s="148" t="s">
        <v>2916</v>
      </c>
      <c r="G8" s="128">
        <f t="shared" si="1"/>
        <v>7.34</v>
      </c>
      <c r="H8" s="128"/>
      <c r="I8" s="128" t="str">
        <f t="shared" si="2"/>
        <v/>
      </c>
      <c r="J8" s="128"/>
      <c r="K8" s="128" t="str">
        <f t="shared" si="3"/>
        <v/>
      </c>
      <c r="L8" s="128"/>
      <c r="M8" s="128" t="str">
        <f t="shared" si="4"/>
        <v/>
      </c>
      <c r="N8" s="148"/>
      <c r="O8" s="128" t="str">
        <f t="shared" si="5"/>
        <v/>
      </c>
      <c r="P8" s="148"/>
      <c r="Q8" s="128" t="str">
        <f t="shared" si="6"/>
        <v/>
      </c>
      <c r="R8" s="148"/>
      <c r="S8" s="128" t="str">
        <f t="shared" si="7"/>
        <v/>
      </c>
      <c r="T8" s="47" t="str">
        <f t="shared" si="0"/>
        <v>OK!</v>
      </c>
    </row>
    <row r="9" spans="2:20" ht="16.5" x14ac:dyDescent="0.3">
      <c r="B9" s="129" t="s">
        <v>2590</v>
      </c>
      <c r="C9" s="150">
        <v>3.81</v>
      </c>
      <c r="D9" s="150">
        <v>7.9</v>
      </c>
      <c r="E9" s="150"/>
      <c r="F9" s="148" t="s">
        <v>2916</v>
      </c>
      <c r="G9" s="128">
        <f t="shared" si="1"/>
        <v>3.81</v>
      </c>
      <c r="H9" s="128"/>
      <c r="I9" s="128" t="str">
        <f t="shared" si="2"/>
        <v/>
      </c>
      <c r="J9" s="128"/>
      <c r="K9" s="128" t="str">
        <f t="shared" si="3"/>
        <v/>
      </c>
      <c r="L9" s="128"/>
      <c r="M9" s="128" t="str">
        <f t="shared" si="4"/>
        <v/>
      </c>
      <c r="N9" s="148"/>
      <c r="O9" s="128" t="str">
        <f t="shared" si="5"/>
        <v/>
      </c>
      <c r="P9" s="148"/>
      <c r="Q9" s="128" t="str">
        <f t="shared" si="6"/>
        <v/>
      </c>
      <c r="R9" s="148"/>
      <c r="S9" s="128" t="str">
        <f t="shared" si="7"/>
        <v/>
      </c>
      <c r="T9" s="47" t="str">
        <f t="shared" si="0"/>
        <v>OK!</v>
      </c>
    </row>
    <row r="10" spans="2:20" ht="16.5" x14ac:dyDescent="0.3">
      <c r="B10" s="129" t="s">
        <v>2591</v>
      </c>
      <c r="C10" s="150">
        <v>1.73</v>
      </c>
      <c r="D10" s="150">
        <v>5.4</v>
      </c>
      <c r="E10" s="150"/>
      <c r="F10" s="148" t="s">
        <v>2916</v>
      </c>
      <c r="G10" s="128">
        <f t="shared" si="1"/>
        <v>1.73</v>
      </c>
      <c r="H10" s="128"/>
      <c r="I10" s="128" t="str">
        <f t="shared" si="2"/>
        <v/>
      </c>
      <c r="J10" s="128"/>
      <c r="K10" s="128" t="str">
        <f t="shared" si="3"/>
        <v/>
      </c>
      <c r="L10" s="128"/>
      <c r="M10" s="128" t="str">
        <f t="shared" si="4"/>
        <v/>
      </c>
      <c r="N10" s="148"/>
      <c r="O10" s="128" t="str">
        <f t="shared" si="5"/>
        <v/>
      </c>
      <c r="P10" s="148"/>
      <c r="Q10" s="128" t="str">
        <f t="shared" si="6"/>
        <v/>
      </c>
      <c r="R10" s="148"/>
      <c r="S10" s="128" t="str">
        <f t="shared" si="7"/>
        <v/>
      </c>
      <c r="T10" s="47" t="str">
        <f t="shared" si="0"/>
        <v>OK!</v>
      </c>
    </row>
    <row r="11" spans="2:20" ht="16.5" x14ac:dyDescent="0.3">
      <c r="B11" s="129" t="s">
        <v>2592</v>
      </c>
      <c r="C11" s="150">
        <v>11.06</v>
      </c>
      <c r="D11" s="150">
        <v>13.35</v>
      </c>
      <c r="E11" s="150"/>
      <c r="F11" s="148" t="s">
        <v>2916</v>
      </c>
      <c r="G11" s="128">
        <f t="shared" si="1"/>
        <v>11.06</v>
      </c>
      <c r="H11" s="128"/>
      <c r="I11" s="128" t="str">
        <f t="shared" si="2"/>
        <v/>
      </c>
      <c r="J11" s="128"/>
      <c r="K11" s="128" t="str">
        <f t="shared" si="3"/>
        <v/>
      </c>
      <c r="L11" s="128"/>
      <c r="M11" s="128" t="str">
        <f t="shared" si="4"/>
        <v/>
      </c>
      <c r="N11" s="148"/>
      <c r="O11" s="128" t="str">
        <f t="shared" si="5"/>
        <v/>
      </c>
      <c r="P11" s="148"/>
      <c r="Q11" s="128" t="str">
        <f t="shared" si="6"/>
        <v/>
      </c>
      <c r="R11" s="148"/>
      <c r="S11" s="128" t="str">
        <f t="shared" si="7"/>
        <v/>
      </c>
      <c r="T11" s="47" t="str">
        <f t="shared" si="0"/>
        <v>OK!</v>
      </c>
    </row>
    <row r="12" spans="2:20" ht="16.5" x14ac:dyDescent="0.3">
      <c r="B12" s="129" t="s">
        <v>2593</v>
      </c>
      <c r="C12" s="150">
        <v>10.23</v>
      </c>
      <c r="D12" s="150">
        <v>15.15</v>
      </c>
      <c r="E12" s="150"/>
      <c r="F12" s="148" t="s">
        <v>2916</v>
      </c>
      <c r="G12" s="128">
        <f t="shared" si="1"/>
        <v>10.23</v>
      </c>
      <c r="H12" s="128"/>
      <c r="I12" s="128" t="str">
        <f t="shared" si="2"/>
        <v/>
      </c>
      <c r="J12" s="128"/>
      <c r="K12" s="128" t="str">
        <f t="shared" si="3"/>
        <v/>
      </c>
      <c r="L12" s="128"/>
      <c r="M12" s="128" t="str">
        <f t="shared" si="4"/>
        <v/>
      </c>
      <c r="N12" s="148"/>
      <c r="O12" s="128" t="str">
        <f t="shared" si="5"/>
        <v/>
      </c>
      <c r="P12" s="148"/>
      <c r="Q12" s="128" t="str">
        <f t="shared" si="6"/>
        <v/>
      </c>
      <c r="R12" s="148"/>
      <c r="S12" s="128" t="str">
        <f t="shared" si="7"/>
        <v/>
      </c>
      <c r="T12" s="47" t="str">
        <f t="shared" si="0"/>
        <v>OK!</v>
      </c>
    </row>
    <row r="13" spans="2:20" ht="16.5" x14ac:dyDescent="0.3">
      <c r="B13" s="129" t="s">
        <v>2594</v>
      </c>
      <c r="C13" s="150">
        <v>3.44</v>
      </c>
      <c r="D13" s="150">
        <v>8.5500000000000007</v>
      </c>
      <c r="E13" s="150"/>
      <c r="F13" s="148" t="s">
        <v>2916</v>
      </c>
      <c r="G13" s="128">
        <f t="shared" si="1"/>
        <v>3.44</v>
      </c>
      <c r="H13" s="128"/>
      <c r="I13" s="128" t="str">
        <f t="shared" si="2"/>
        <v/>
      </c>
      <c r="J13" s="128"/>
      <c r="K13" s="128" t="str">
        <f t="shared" si="3"/>
        <v/>
      </c>
      <c r="L13" s="128"/>
      <c r="M13" s="128" t="str">
        <f t="shared" si="4"/>
        <v/>
      </c>
      <c r="N13" s="148"/>
      <c r="O13" s="128" t="str">
        <f t="shared" si="5"/>
        <v/>
      </c>
      <c r="P13" s="148"/>
      <c r="Q13" s="128" t="str">
        <f t="shared" si="6"/>
        <v/>
      </c>
      <c r="R13" s="148"/>
      <c r="S13" s="128" t="str">
        <f t="shared" si="7"/>
        <v/>
      </c>
      <c r="T13" s="47" t="str">
        <f t="shared" si="0"/>
        <v>OK!</v>
      </c>
    </row>
    <row r="14" spans="2:20" ht="16.5" x14ac:dyDescent="0.3">
      <c r="B14" s="129" t="s">
        <v>2595</v>
      </c>
      <c r="C14" s="150">
        <v>9.34</v>
      </c>
      <c r="D14" s="150">
        <v>16.649999999999999</v>
      </c>
      <c r="E14" s="150"/>
      <c r="F14" s="148" t="s">
        <v>2916</v>
      </c>
      <c r="G14" s="128">
        <f t="shared" si="1"/>
        <v>9.34</v>
      </c>
      <c r="H14" s="128"/>
      <c r="I14" s="128" t="str">
        <f t="shared" si="2"/>
        <v/>
      </c>
      <c r="J14" s="128"/>
      <c r="K14" s="128" t="str">
        <f t="shared" si="3"/>
        <v/>
      </c>
      <c r="L14" s="128"/>
      <c r="M14" s="128" t="str">
        <f t="shared" si="4"/>
        <v/>
      </c>
      <c r="N14" s="148"/>
      <c r="O14" s="128" t="str">
        <f t="shared" si="5"/>
        <v/>
      </c>
      <c r="P14" s="148"/>
      <c r="Q14" s="128" t="str">
        <f t="shared" si="6"/>
        <v/>
      </c>
      <c r="R14" s="148"/>
      <c r="S14" s="128" t="str">
        <f t="shared" si="7"/>
        <v/>
      </c>
      <c r="T14" s="47" t="str">
        <f t="shared" si="0"/>
        <v>OK!</v>
      </c>
    </row>
    <row r="15" spans="2:20" ht="16.5" x14ac:dyDescent="0.3">
      <c r="B15" s="129" t="s">
        <v>2596</v>
      </c>
      <c r="C15" s="150">
        <v>1.64</v>
      </c>
      <c r="D15" s="150">
        <v>5.25</v>
      </c>
      <c r="E15" s="150"/>
      <c r="F15" s="148" t="s">
        <v>2916</v>
      </c>
      <c r="G15" s="128">
        <f t="shared" si="1"/>
        <v>1.64</v>
      </c>
      <c r="H15" s="128"/>
      <c r="I15" s="128" t="str">
        <f t="shared" si="2"/>
        <v/>
      </c>
      <c r="J15" s="128"/>
      <c r="K15" s="128" t="str">
        <f t="shared" si="3"/>
        <v/>
      </c>
      <c r="L15" s="128"/>
      <c r="M15" s="128" t="str">
        <f t="shared" si="4"/>
        <v/>
      </c>
      <c r="N15" s="148"/>
      <c r="O15" s="128" t="str">
        <f t="shared" si="5"/>
        <v/>
      </c>
      <c r="P15" s="148"/>
      <c r="Q15" s="128" t="str">
        <f t="shared" si="6"/>
        <v/>
      </c>
      <c r="R15" s="148"/>
      <c r="S15" s="128" t="str">
        <f t="shared" si="7"/>
        <v/>
      </c>
      <c r="T15" s="47" t="str">
        <f t="shared" si="0"/>
        <v>OK!</v>
      </c>
    </row>
    <row r="16" spans="2:20" ht="16.5" x14ac:dyDescent="0.3">
      <c r="B16" s="129" t="s">
        <v>2597</v>
      </c>
      <c r="C16" s="150">
        <v>1.69</v>
      </c>
      <c r="D16" s="150">
        <v>5.35</v>
      </c>
      <c r="E16" s="150"/>
      <c r="F16" s="148" t="s">
        <v>2916</v>
      </c>
      <c r="G16" s="128">
        <f t="shared" si="1"/>
        <v>1.69</v>
      </c>
      <c r="H16" s="128"/>
      <c r="I16" s="128" t="str">
        <f t="shared" si="2"/>
        <v/>
      </c>
      <c r="J16" s="128"/>
      <c r="K16" s="128" t="str">
        <f t="shared" si="3"/>
        <v/>
      </c>
      <c r="L16" s="128"/>
      <c r="M16" s="128" t="str">
        <f t="shared" si="4"/>
        <v/>
      </c>
      <c r="N16" s="148"/>
      <c r="O16" s="128" t="str">
        <f t="shared" si="5"/>
        <v/>
      </c>
      <c r="P16" s="148"/>
      <c r="Q16" s="128" t="str">
        <f t="shared" si="6"/>
        <v/>
      </c>
      <c r="R16" s="148"/>
      <c r="S16" s="128" t="str">
        <f t="shared" si="7"/>
        <v/>
      </c>
      <c r="T16" s="47" t="str">
        <f t="shared" si="0"/>
        <v>OK!</v>
      </c>
    </row>
    <row r="17" spans="2:20" ht="16.5" x14ac:dyDescent="0.3">
      <c r="B17" s="129" t="s">
        <v>2598</v>
      </c>
      <c r="C17" s="150">
        <v>2.15</v>
      </c>
      <c r="D17" s="150">
        <v>6.15</v>
      </c>
      <c r="E17" s="150"/>
      <c r="F17" s="148" t="s">
        <v>2916</v>
      </c>
      <c r="G17" s="128">
        <f t="shared" si="1"/>
        <v>2.15</v>
      </c>
      <c r="H17" s="128"/>
      <c r="I17" s="128" t="str">
        <f t="shared" si="2"/>
        <v/>
      </c>
      <c r="J17" s="128"/>
      <c r="K17" s="128" t="str">
        <f t="shared" si="3"/>
        <v/>
      </c>
      <c r="L17" s="128"/>
      <c r="M17" s="128" t="str">
        <f t="shared" si="4"/>
        <v/>
      </c>
      <c r="N17" s="148"/>
      <c r="O17" s="128" t="str">
        <f t="shared" si="5"/>
        <v/>
      </c>
      <c r="P17" s="148"/>
      <c r="Q17" s="128" t="str">
        <f t="shared" si="6"/>
        <v/>
      </c>
      <c r="R17" s="148"/>
      <c r="S17" s="128" t="str">
        <f t="shared" si="7"/>
        <v/>
      </c>
      <c r="T17" s="47" t="str">
        <f t="shared" si="0"/>
        <v>OK!</v>
      </c>
    </row>
    <row r="18" spans="2:20" ht="16.5" x14ac:dyDescent="0.3">
      <c r="B18" s="129" t="s">
        <v>2599</v>
      </c>
      <c r="C18" s="150">
        <v>20.91</v>
      </c>
      <c r="D18" s="150">
        <v>19.350000000000001</v>
      </c>
      <c r="E18" s="150"/>
      <c r="F18" s="148" t="s">
        <v>2916</v>
      </c>
      <c r="G18" s="128">
        <f t="shared" si="1"/>
        <v>20.91</v>
      </c>
      <c r="H18" s="128"/>
      <c r="I18" s="128" t="str">
        <f t="shared" si="2"/>
        <v/>
      </c>
      <c r="J18" s="128"/>
      <c r="K18" s="128" t="str">
        <f t="shared" si="3"/>
        <v/>
      </c>
      <c r="L18" s="128"/>
      <c r="M18" s="128" t="str">
        <f t="shared" si="4"/>
        <v/>
      </c>
      <c r="N18" s="148"/>
      <c r="O18" s="128" t="str">
        <f t="shared" si="5"/>
        <v/>
      </c>
      <c r="P18" s="148"/>
      <c r="Q18" s="128" t="str">
        <f t="shared" si="6"/>
        <v/>
      </c>
      <c r="R18" s="148"/>
      <c r="S18" s="128" t="str">
        <f t="shared" si="7"/>
        <v/>
      </c>
      <c r="T18" s="47" t="str">
        <f t="shared" si="0"/>
        <v>OK!</v>
      </c>
    </row>
    <row r="19" spans="2:20" ht="16.5" x14ac:dyDescent="0.3">
      <c r="B19" s="129" t="s">
        <v>2591</v>
      </c>
      <c r="C19" s="150">
        <v>1.26</v>
      </c>
      <c r="D19" s="150">
        <v>4.49</v>
      </c>
      <c r="E19" s="150"/>
      <c r="F19" s="148" t="s">
        <v>2916</v>
      </c>
      <c r="G19" s="128">
        <f t="shared" si="1"/>
        <v>1.26</v>
      </c>
      <c r="H19" s="128"/>
      <c r="I19" s="128" t="str">
        <f t="shared" si="2"/>
        <v/>
      </c>
      <c r="J19" s="128"/>
      <c r="K19" s="128" t="str">
        <f t="shared" si="3"/>
        <v/>
      </c>
      <c r="L19" s="128"/>
      <c r="M19" s="128" t="str">
        <f t="shared" si="4"/>
        <v/>
      </c>
      <c r="N19" s="148"/>
      <c r="O19" s="128" t="str">
        <f t="shared" si="5"/>
        <v/>
      </c>
      <c r="P19" s="148"/>
      <c r="Q19" s="128" t="str">
        <f t="shared" si="6"/>
        <v/>
      </c>
      <c r="R19" s="148"/>
      <c r="S19" s="128" t="str">
        <f t="shared" si="7"/>
        <v/>
      </c>
      <c r="T19" s="47" t="str">
        <f t="shared" si="0"/>
        <v>OK!</v>
      </c>
    </row>
    <row r="20" spans="2:20" ht="16.5" x14ac:dyDescent="0.3">
      <c r="B20" s="129" t="s">
        <v>2594</v>
      </c>
      <c r="C20" s="150">
        <v>5.17</v>
      </c>
      <c r="D20" s="150">
        <v>11.6</v>
      </c>
      <c r="E20" s="150"/>
      <c r="F20" s="148" t="s">
        <v>2916</v>
      </c>
      <c r="G20" s="128">
        <f t="shared" si="1"/>
        <v>5.17</v>
      </c>
      <c r="H20" s="128"/>
      <c r="I20" s="128" t="str">
        <f t="shared" si="2"/>
        <v/>
      </c>
      <c r="J20" s="128"/>
      <c r="K20" s="128" t="str">
        <f t="shared" si="3"/>
        <v/>
      </c>
      <c r="L20" s="128"/>
      <c r="M20" s="128" t="str">
        <f t="shared" si="4"/>
        <v/>
      </c>
      <c r="N20" s="148"/>
      <c r="O20" s="128" t="str">
        <f t="shared" si="5"/>
        <v/>
      </c>
      <c r="P20" s="148"/>
      <c r="Q20" s="128" t="str">
        <f t="shared" si="6"/>
        <v/>
      </c>
      <c r="R20" s="148"/>
      <c r="S20" s="128" t="str">
        <f t="shared" si="7"/>
        <v/>
      </c>
      <c r="T20" s="47" t="str">
        <f t="shared" si="0"/>
        <v>OK!</v>
      </c>
    </row>
    <row r="21" spans="2:20" ht="16.5" x14ac:dyDescent="0.3">
      <c r="B21" s="129" t="s">
        <v>2600</v>
      </c>
      <c r="C21" s="150">
        <v>7.84</v>
      </c>
      <c r="D21" s="150">
        <v>11.85</v>
      </c>
      <c r="E21" s="150"/>
      <c r="F21" s="148" t="s">
        <v>2916</v>
      </c>
      <c r="G21" s="128">
        <f t="shared" si="1"/>
        <v>7.84</v>
      </c>
      <c r="H21" s="128"/>
      <c r="I21" s="128" t="str">
        <f t="shared" si="2"/>
        <v/>
      </c>
      <c r="J21" s="128"/>
      <c r="K21" s="128" t="str">
        <f t="shared" si="3"/>
        <v/>
      </c>
      <c r="L21" s="128"/>
      <c r="M21" s="128" t="str">
        <f t="shared" si="4"/>
        <v/>
      </c>
      <c r="N21" s="148"/>
      <c r="O21" s="128" t="str">
        <f t="shared" si="5"/>
        <v/>
      </c>
      <c r="P21" s="148"/>
      <c r="Q21" s="128" t="str">
        <f t="shared" si="6"/>
        <v/>
      </c>
      <c r="R21" s="148"/>
      <c r="S21" s="128" t="str">
        <f t="shared" si="7"/>
        <v/>
      </c>
      <c r="T21" s="47" t="str">
        <f t="shared" si="0"/>
        <v>OK!</v>
      </c>
    </row>
    <row r="22" spans="2:20" ht="16.5" x14ac:dyDescent="0.3">
      <c r="B22" s="129" t="s">
        <v>2601</v>
      </c>
      <c r="C22" s="150">
        <v>7.99</v>
      </c>
      <c r="D22" s="150">
        <v>11.55</v>
      </c>
      <c r="E22" s="150"/>
      <c r="F22" s="148" t="s">
        <v>2916</v>
      </c>
      <c r="G22" s="128">
        <f t="shared" si="1"/>
        <v>7.99</v>
      </c>
      <c r="H22" s="128"/>
      <c r="I22" s="128" t="str">
        <f t="shared" si="2"/>
        <v/>
      </c>
      <c r="J22" s="128"/>
      <c r="K22" s="128" t="str">
        <f t="shared" si="3"/>
        <v/>
      </c>
      <c r="L22" s="128"/>
      <c r="M22" s="128" t="str">
        <f t="shared" si="4"/>
        <v/>
      </c>
      <c r="N22" s="148"/>
      <c r="O22" s="128" t="str">
        <f t="shared" si="5"/>
        <v/>
      </c>
      <c r="P22" s="148"/>
      <c r="Q22" s="128" t="str">
        <f t="shared" si="6"/>
        <v/>
      </c>
      <c r="R22" s="148"/>
      <c r="S22" s="128" t="str">
        <f t="shared" si="7"/>
        <v/>
      </c>
      <c r="T22" s="47" t="str">
        <f t="shared" si="0"/>
        <v>OK!</v>
      </c>
    </row>
    <row r="23" spans="2:20" ht="16.5" x14ac:dyDescent="0.3">
      <c r="B23" s="129" t="s">
        <v>2602</v>
      </c>
      <c r="C23" s="150">
        <v>7.83</v>
      </c>
      <c r="D23" s="150">
        <v>11.85</v>
      </c>
      <c r="E23" s="150"/>
      <c r="F23" s="148" t="s">
        <v>2916</v>
      </c>
      <c r="G23" s="128">
        <f t="shared" si="1"/>
        <v>7.83</v>
      </c>
      <c r="H23" s="128"/>
      <c r="I23" s="128" t="str">
        <f t="shared" si="2"/>
        <v/>
      </c>
      <c r="J23" s="128"/>
      <c r="K23" s="128" t="str">
        <f t="shared" si="3"/>
        <v/>
      </c>
      <c r="L23" s="128"/>
      <c r="M23" s="128" t="str">
        <f t="shared" si="4"/>
        <v/>
      </c>
      <c r="N23" s="148"/>
      <c r="O23" s="128" t="str">
        <f t="shared" si="5"/>
        <v/>
      </c>
      <c r="P23" s="148"/>
      <c r="Q23" s="128" t="str">
        <f t="shared" si="6"/>
        <v/>
      </c>
      <c r="R23" s="148"/>
      <c r="S23" s="128" t="str">
        <f t="shared" si="7"/>
        <v/>
      </c>
      <c r="T23" s="47" t="str">
        <f t="shared" si="0"/>
        <v>OK!</v>
      </c>
    </row>
    <row r="24" spans="2:20" ht="16.5" x14ac:dyDescent="0.3">
      <c r="B24" s="129" t="s">
        <v>2603</v>
      </c>
      <c r="C24" s="150">
        <v>4</v>
      </c>
      <c r="D24" s="150">
        <v>8.1199999999999992</v>
      </c>
      <c r="E24" s="150"/>
      <c r="F24" s="148"/>
      <c r="G24" s="128" t="str">
        <f t="shared" si="1"/>
        <v/>
      </c>
      <c r="H24" s="128"/>
      <c r="I24" s="128" t="str">
        <f t="shared" si="2"/>
        <v/>
      </c>
      <c r="J24" s="128"/>
      <c r="K24" s="128" t="str">
        <f t="shared" si="3"/>
        <v/>
      </c>
      <c r="L24" s="128"/>
      <c r="M24" s="128" t="str">
        <f t="shared" si="4"/>
        <v/>
      </c>
      <c r="N24" s="148"/>
      <c r="O24" s="128" t="str">
        <f t="shared" si="5"/>
        <v/>
      </c>
      <c r="P24" s="148" t="s">
        <v>2916</v>
      </c>
      <c r="Q24" s="128">
        <f t="shared" si="6"/>
        <v>4</v>
      </c>
      <c r="R24" s="148"/>
      <c r="S24" s="128" t="str">
        <f t="shared" si="7"/>
        <v/>
      </c>
      <c r="T24" s="47" t="str">
        <f t="shared" si="0"/>
        <v>OK!</v>
      </c>
    </row>
    <row r="25" spans="2:20" ht="16.5" x14ac:dyDescent="0.3">
      <c r="B25" s="129" t="s">
        <v>2604</v>
      </c>
      <c r="C25" s="150">
        <v>4.01</v>
      </c>
      <c r="D25" s="150">
        <v>8.1300000000000008</v>
      </c>
      <c r="E25" s="150"/>
      <c r="F25" s="148"/>
      <c r="G25" s="128" t="str">
        <f t="shared" si="1"/>
        <v/>
      </c>
      <c r="H25" s="128"/>
      <c r="I25" s="128" t="str">
        <f t="shared" si="2"/>
        <v/>
      </c>
      <c r="J25" s="128"/>
      <c r="K25" s="128" t="str">
        <f t="shared" si="3"/>
        <v/>
      </c>
      <c r="L25" s="128"/>
      <c r="M25" s="128" t="str">
        <f t="shared" si="4"/>
        <v/>
      </c>
      <c r="N25" s="148"/>
      <c r="O25" s="128" t="str">
        <f t="shared" si="5"/>
        <v/>
      </c>
      <c r="P25" s="148" t="s">
        <v>2916</v>
      </c>
      <c r="Q25" s="128">
        <f t="shared" si="6"/>
        <v>4.01</v>
      </c>
      <c r="R25" s="148"/>
      <c r="S25" s="128" t="str">
        <f t="shared" si="7"/>
        <v/>
      </c>
      <c r="T25" s="47" t="str">
        <f t="shared" si="0"/>
        <v>OK!</v>
      </c>
    </row>
    <row r="26" spans="2:20" ht="16.5" x14ac:dyDescent="0.3">
      <c r="B26" s="129" t="s">
        <v>2598</v>
      </c>
      <c r="C26" s="150">
        <v>3.8</v>
      </c>
      <c r="D26" s="150">
        <v>8.3000000000000007</v>
      </c>
      <c r="E26" s="150"/>
      <c r="F26" s="148" t="s">
        <v>2916</v>
      </c>
      <c r="G26" s="128">
        <f t="shared" si="1"/>
        <v>3.8</v>
      </c>
      <c r="H26" s="128"/>
      <c r="I26" s="128" t="str">
        <f t="shared" si="2"/>
        <v/>
      </c>
      <c r="J26" s="128"/>
      <c r="K26" s="128" t="str">
        <f t="shared" si="3"/>
        <v/>
      </c>
      <c r="L26" s="128"/>
      <c r="M26" s="128" t="str">
        <f t="shared" si="4"/>
        <v/>
      </c>
      <c r="N26" s="148"/>
      <c r="O26" s="128" t="str">
        <f t="shared" si="5"/>
        <v/>
      </c>
      <c r="P26" s="148"/>
      <c r="Q26" s="128" t="str">
        <f t="shared" si="6"/>
        <v/>
      </c>
      <c r="R26" s="148"/>
      <c r="S26" s="128" t="str">
        <f t="shared" si="7"/>
        <v/>
      </c>
      <c r="T26" s="47" t="str">
        <f t="shared" si="0"/>
        <v>OK!</v>
      </c>
    </row>
    <row r="27" spans="2:20" ht="16.5" x14ac:dyDescent="0.3">
      <c r="B27" s="129" t="s">
        <v>2605</v>
      </c>
      <c r="C27" s="150">
        <v>5.49</v>
      </c>
      <c r="D27" s="150">
        <v>9.4</v>
      </c>
      <c r="E27" s="150"/>
      <c r="F27" s="148" t="s">
        <v>2916</v>
      </c>
      <c r="G27" s="128">
        <f t="shared" si="1"/>
        <v>5.49</v>
      </c>
      <c r="H27" s="128"/>
      <c r="I27" s="128" t="str">
        <f t="shared" si="2"/>
        <v/>
      </c>
      <c r="J27" s="128"/>
      <c r="K27" s="128" t="str">
        <f t="shared" si="3"/>
        <v/>
      </c>
      <c r="L27" s="128"/>
      <c r="M27" s="128" t="str">
        <f t="shared" si="4"/>
        <v/>
      </c>
      <c r="N27" s="148"/>
      <c r="O27" s="128" t="str">
        <f t="shared" si="5"/>
        <v/>
      </c>
      <c r="P27" s="148"/>
      <c r="Q27" s="128" t="str">
        <f t="shared" si="6"/>
        <v/>
      </c>
      <c r="R27" s="148"/>
      <c r="S27" s="128" t="str">
        <f t="shared" si="7"/>
        <v/>
      </c>
      <c r="T27" s="47" t="str">
        <f t="shared" si="0"/>
        <v>OK!</v>
      </c>
    </row>
    <row r="28" spans="2:20" ht="16.5" x14ac:dyDescent="0.3">
      <c r="B28" s="129" t="s">
        <v>2606</v>
      </c>
      <c r="C28" s="150">
        <v>36.44</v>
      </c>
      <c r="D28" s="150">
        <v>24.95</v>
      </c>
      <c r="E28" s="150"/>
      <c r="F28" s="148"/>
      <c r="G28" s="128" t="str">
        <f t="shared" si="1"/>
        <v/>
      </c>
      <c r="H28" s="128"/>
      <c r="I28" s="128" t="str">
        <f t="shared" si="2"/>
        <v/>
      </c>
      <c r="J28" s="128"/>
      <c r="K28" s="128" t="str">
        <f t="shared" si="3"/>
        <v/>
      </c>
      <c r="L28" s="128"/>
      <c r="M28" s="128" t="str">
        <f t="shared" si="4"/>
        <v/>
      </c>
      <c r="N28" s="148"/>
      <c r="O28" s="128" t="str">
        <f t="shared" si="5"/>
        <v/>
      </c>
      <c r="P28" s="148" t="s">
        <v>2916</v>
      </c>
      <c r="Q28" s="128">
        <f t="shared" si="6"/>
        <v>36.44</v>
      </c>
      <c r="R28" s="148"/>
      <c r="S28" s="128" t="str">
        <f t="shared" si="7"/>
        <v/>
      </c>
      <c r="T28" s="47" t="str">
        <f t="shared" si="0"/>
        <v>OK!</v>
      </c>
    </row>
    <row r="29" spans="2:20" ht="16.5" x14ac:dyDescent="0.3">
      <c r="B29" s="129" t="s">
        <v>2607</v>
      </c>
      <c r="C29" s="150">
        <v>9.07</v>
      </c>
      <c r="D29" s="150">
        <v>12.16</v>
      </c>
      <c r="E29" s="150"/>
      <c r="F29" s="148" t="s">
        <v>2916</v>
      </c>
      <c r="G29" s="128">
        <f t="shared" si="1"/>
        <v>9.07</v>
      </c>
      <c r="H29" s="128"/>
      <c r="I29" s="128" t="str">
        <f t="shared" si="2"/>
        <v/>
      </c>
      <c r="J29" s="128"/>
      <c r="K29" s="128" t="str">
        <f t="shared" si="3"/>
        <v/>
      </c>
      <c r="L29" s="128"/>
      <c r="M29" s="128" t="str">
        <f t="shared" si="4"/>
        <v/>
      </c>
      <c r="N29" s="148"/>
      <c r="O29" s="128" t="str">
        <f t="shared" si="5"/>
        <v/>
      </c>
      <c r="P29" s="148"/>
      <c r="Q29" s="128" t="str">
        <f t="shared" si="6"/>
        <v/>
      </c>
      <c r="R29" s="148"/>
      <c r="S29" s="128" t="str">
        <f t="shared" si="7"/>
        <v/>
      </c>
      <c r="T29" s="47" t="str">
        <f t="shared" si="0"/>
        <v>OK!</v>
      </c>
    </row>
    <row r="30" spans="2:20" ht="16.5" x14ac:dyDescent="0.3">
      <c r="B30" s="129" t="s">
        <v>2608</v>
      </c>
      <c r="C30" s="150">
        <v>41.7</v>
      </c>
      <c r="D30" s="150">
        <v>40.01</v>
      </c>
      <c r="E30" s="150"/>
      <c r="F30" s="148" t="s">
        <v>2916</v>
      </c>
      <c r="G30" s="128">
        <f t="shared" si="1"/>
        <v>41.7</v>
      </c>
      <c r="H30" s="128"/>
      <c r="I30" s="128" t="str">
        <f t="shared" si="2"/>
        <v/>
      </c>
      <c r="J30" s="128"/>
      <c r="K30" s="128" t="str">
        <f t="shared" si="3"/>
        <v/>
      </c>
      <c r="L30" s="128"/>
      <c r="M30" s="128" t="str">
        <f t="shared" si="4"/>
        <v/>
      </c>
      <c r="N30" s="148"/>
      <c r="O30" s="128" t="str">
        <f t="shared" si="5"/>
        <v/>
      </c>
      <c r="P30" s="148"/>
      <c r="Q30" s="128" t="str">
        <f t="shared" si="6"/>
        <v/>
      </c>
      <c r="R30" s="148"/>
      <c r="S30" s="128" t="str">
        <f t="shared" si="7"/>
        <v/>
      </c>
      <c r="T30" s="47" t="str">
        <f t="shared" si="0"/>
        <v>OK!</v>
      </c>
    </row>
    <row r="31" spans="2:20" ht="16.5" x14ac:dyDescent="0.3">
      <c r="B31" s="136" t="s">
        <v>2609</v>
      </c>
      <c r="C31" s="150"/>
      <c r="D31" s="150"/>
      <c r="E31" s="150"/>
      <c r="F31" s="148"/>
      <c r="G31" s="128"/>
      <c r="H31" s="128"/>
      <c r="I31" s="128" t="str">
        <f t="shared" si="2"/>
        <v/>
      </c>
      <c r="J31" s="128"/>
      <c r="K31" s="128" t="str">
        <f t="shared" si="3"/>
        <v/>
      </c>
      <c r="L31" s="128"/>
      <c r="M31" s="128" t="str">
        <f t="shared" si="4"/>
        <v/>
      </c>
      <c r="N31" s="148"/>
      <c r="O31" s="128" t="str">
        <f t="shared" si="5"/>
        <v/>
      </c>
      <c r="P31" s="148"/>
      <c r="Q31" s="128" t="str">
        <f t="shared" si="6"/>
        <v/>
      </c>
      <c r="R31" s="148"/>
      <c r="S31" s="128" t="str">
        <f t="shared" si="7"/>
        <v/>
      </c>
      <c r="T31" s="47" t="str">
        <f t="shared" si="0"/>
        <v>OK!</v>
      </c>
    </row>
    <row r="32" spans="2:20" ht="16.5" x14ac:dyDescent="0.3">
      <c r="B32" s="129" t="s">
        <v>2610</v>
      </c>
      <c r="C32" s="150">
        <v>51.7</v>
      </c>
      <c r="D32" s="150">
        <v>30.04</v>
      </c>
      <c r="E32" s="150"/>
      <c r="F32" s="148"/>
      <c r="G32" s="128" t="str">
        <f t="shared" si="1"/>
        <v/>
      </c>
      <c r="H32" s="128"/>
      <c r="I32" s="128" t="str">
        <f t="shared" si="2"/>
        <v/>
      </c>
      <c r="J32" s="128"/>
      <c r="K32" s="128" t="str">
        <f t="shared" si="3"/>
        <v/>
      </c>
      <c r="L32" s="128"/>
      <c r="M32" s="128" t="str">
        <f t="shared" si="4"/>
        <v/>
      </c>
      <c r="N32" s="148"/>
      <c r="O32" s="128" t="str">
        <f t="shared" si="5"/>
        <v/>
      </c>
      <c r="P32" s="148" t="s">
        <v>2916</v>
      </c>
      <c r="Q32" s="128">
        <f t="shared" si="6"/>
        <v>51.7</v>
      </c>
      <c r="R32" s="148"/>
      <c r="S32" s="128" t="str">
        <f t="shared" si="7"/>
        <v/>
      </c>
      <c r="T32" s="47" t="str">
        <f t="shared" si="0"/>
        <v>OK!</v>
      </c>
    </row>
    <row r="33" spans="1:20" ht="16.5" x14ac:dyDescent="0.3">
      <c r="A33" s="130"/>
      <c r="B33" s="129" t="s">
        <v>2607</v>
      </c>
      <c r="C33" s="150">
        <v>15.21</v>
      </c>
      <c r="D33" s="150">
        <v>15.75</v>
      </c>
      <c r="E33" s="150"/>
      <c r="F33" s="148" t="s">
        <v>2916</v>
      </c>
      <c r="G33" s="128">
        <f t="shared" si="1"/>
        <v>15.21</v>
      </c>
      <c r="H33" s="128"/>
      <c r="I33" s="128" t="str">
        <f t="shared" si="2"/>
        <v/>
      </c>
      <c r="J33" s="128"/>
      <c r="K33" s="128" t="str">
        <f t="shared" si="3"/>
        <v/>
      </c>
      <c r="L33" s="128"/>
      <c r="M33" s="128" t="str">
        <f t="shared" si="4"/>
        <v/>
      </c>
      <c r="N33" s="148"/>
      <c r="O33" s="128" t="str">
        <f t="shared" si="5"/>
        <v/>
      </c>
      <c r="P33" s="148"/>
      <c r="Q33" s="128" t="str">
        <f t="shared" si="6"/>
        <v/>
      </c>
      <c r="R33" s="148"/>
      <c r="S33" s="128" t="str">
        <f t="shared" si="7"/>
        <v/>
      </c>
      <c r="T33" s="47" t="str">
        <f t="shared" si="0"/>
        <v>OK!</v>
      </c>
    </row>
    <row r="34" spans="1:20" ht="16.5" x14ac:dyDescent="0.3">
      <c r="A34" s="131"/>
      <c r="B34" s="129" t="s">
        <v>2611</v>
      </c>
      <c r="C34" s="150">
        <v>15.35</v>
      </c>
      <c r="D34" s="150">
        <v>15.83</v>
      </c>
      <c r="E34" s="150"/>
      <c r="F34" s="148" t="s">
        <v>2916</v>
      </c>
      <c r="G34" s="128">
        <f t="shared" si="1"/>
        <v>15.35</v>
      </c>
      <c r="H34" s="128"/>
      <c r="I34" s="128" t="str">
        <f t="shared" si="2"/>
        <v/>
      </c>
      <c r="J34" s="128"/>
      <c r="K34" s="128" t="str">
        <f t="shared" si="3"/>
        <v/>
      </c>
      <c r="L34" s="128"/>
      <c r="M34" s="128" t="str">
        <f t="shared" si="4"/>
        <v/>
      </c>
      <c r="N34" s="148"/>
      <c r="O34" s="128" t="str">
        <f t="shared" si="5"/>
        <v/>
      </c>
      <c r="P34" s="148"/>
      <c r="Q34" s="128" t="str">
        <f t="shared" si="6"/>
        <v/>
      </c>
      <c r="R34" s="148"/>
      <c r="S34" s="128" t="str">
        <f t="shared" si="7"/>
        <v/>
      </c>
      <c r="T34" s="47" t="str">
        <f t="shared" si="0"/>
        <v>OK!</v>
      </c>
    </row>
    <row r="35" spans="1:20" ht="16.5" x14ac:dyDescent="0.3">
      <c r="B35" s="129" t="s">
        <v>2612</v>
      </c>
      <c r="C35" s="150">
        <f>120.76-0.2475*2</f>
        <v>120.265</v>
      </c>
      <c r="D35" s="150">
        <v>47.58</v>
      </c>
      <c r="E35" s="150"/>
      <c r="F35" s="148"/>
      <c r="G35" s="128" t="str">
        <f t="shared" si="1"/>
        <v/>
      </c>
      <c r="H35" s="128"/>
      <c r="I35" s="128" t="str">
        <f t="shared" si="2"/>
        <v/>
      </c>
      <c r="J35" s="128"/>
      <c r="K35" s="128" t="str">
        <f t="shared" si="3"/>
        <v/>
      </c>
      <c r="L35" s="128"/>
      <c r="M35" s="128" t="str">
        <f t="shared" si="4"/>
        <v/>
      </c>
      <c r="N35" s="148"/>
      <c r="O35" s="128" t="str">
        <f t="shared" si="5"/>
        <v/>
      </c>
      <c r="P35" s="148" t="s">
        <v>2916</v>
      </c>
      <c r="Q35" s="128">
        <f t="shared" si="6"/>
        <v>120.265</v>
      </c>
      <c r="R35" s="148"/>
      <c r="S35" s="128" t="str">
        <f t="shared" si="7"/>
        <v/>
      </c>
      <c r="T35" s="47" t="str">
        <f t="shared" si="0"/>
        <v>OK!</v>
      </c>
    </row>
    <row r="36" spans="1:20" ht="16.5" x14ac:dyDescent="0.3">
      <c r="B36" s="129" t="s">
        <v>2613</v>
      </c>
      <c r="C36" s="150">
        <v>11.22</v>
      </c>
      <c r="D36" s="150">
        <v>14.46</v>
      </c>
      <c r="E36" s="150"/>
      <c r="F36" s="148" t="s">
        <v>2916</v>
      </c>
      <c r="G36" s="128">
        <f t="shared" si="1"/>
        <v>11.22</v>
      </c>
      <c r="H36" s="128"/>
      <c r="I36" s="128" t="str">
        <f t="shared" si="2"/>
        <v/>
      </c>
      <c r="J36" s="128"/>
      <c r="K36" s="128" t="str">
        <f t="shared" si="3"/>
        <v/>
      </c>
      <c r="L36" s="128"/>
      <c r="M36" s="128" t="str">
        <f t="shared" si="4"/>
        <v/>
      </c>
      <c r="N36" s="148"/>
      <c r="O36" s="128" t="str">
        <f t="shared" si="5"/>
        <v/>
      </c>
      <c r="P36" s="148"/>
      <c r="Q36" s="128" t="str">
        <f t="shared" si="6"/>
        <v/>
      </c>
      <c r="R36" s="148"/>
      <c r="S36" s="128" t="str">
        <f t="shared" si="7"/>
        <v/>
      </c>
      <c r="T36" s="47" t="str">
        <f t="shared" si="0"/>
        <v>OK!</v>
      </c>
    </row>
    <row r="37" spans="1:20" ht="16.5" x14ac:dyDescent="0.3">
      <c r="B37" s="129" t="s">
        <v>2614</v>
      </c>
      <c r="C37" s="150">
        <v>24.38</v>
      </c>
      <c r="D37" s="150">
        <v>19.8</v>
      </c>
      <c r="E37" s="150"/>
      <c r="F37" s="148" t="s">
        <v>2916</v>
      </c>
      <c r="G37" s="128">
        <f t="shared" si="1"/>
        <v>24.38</v>
      </c>
      <c r="H37" s="128"/>
      <c r="I37" s="128" t="str">
        <f t="shared" si="2"/>
        <v/>
      </c>
      <c r="J37" s="128"/>
      <c r="K37" s="128" t="str">
        <f t="shared" si="3"/>
        <v/>
      </c>
      <c r="L37" s="128"/>
      <c r="M37" s="128" t="str">
        <f t="shared" si="4"/>
        <v/>
      </c>
      <c r="N37" s="148"/>
      <c r="O37" s="128" t="str">
        <f t="shared" si="5"/>
        <v/>
      </c>
      <c r="P37" s="148"/>
      <c r="Q37" s="128" t="str">
        <f t="shared" si="6"/>
        <v/>
      </c>
      <c r="R37" s="148"/>
      <c r="S37" s="128" t="str">
        <f t="shared" si="7"/>
        <v/>
      </c>
      <c r="T37" s="47" t="str">
        <f t="shared" si="0"/>
        <v>OK!</v>
      </c>
    </row>
    <row r="38" spans="1:20" ht="16.5" x14ac:dyDescent="0.3">
      <c r="B38" s="129" t="s">
        <v>2615</v>
      </c>
      <c r="C38" s="150">
        <v>35.51</v>
      </c>
      <c r="D38" s="150">
        <v>34.85</v>
      </c>
      <c r="E38" s="150"/>
      <c r="F38" s="148" t="s">
        <v>2916</v>
      </c>
      <c r="G38" s="128">
        <f t="shared" si="1"/>
        <v>35.51</v>
      </c>
      <c r="H38" s="128"/>
      <c r="I38" s="128" t="str">
        <f t="shared" si="2"/>
        <v/>
      </c>
      <c r="J38" s="128"/>
      <c r="K38" s="128" t="str">
        <f t="shared" si="3"/>
        <v/>
      </c>
      <c r="L38" s="128"/>
      <c r="M38" s="128" t="str">
        <f t="shared" si="4"/>
        <v/>
      </c>
      <c r="N38" s="148"/>
      <c r="O38" s="128" t="str">
        <f t="shared" si="5"/>
        <v/>
      </c>
      <c r="P38" s="148"/>
      <c r="Q38" s="128" t="str">
        <f t="shared" si="6"/>
        <v/>
      </c>
      <c r="R38" s="148"/>
      <c r="S38" s="128" t="str">
        <f t="shared" si="7"/>
        <v/>
      </c>
      <c r="T38" s="47" t="str">
        <f t="shared" si="0"/>
        <v>OK!</v>
      </c>
    </row>
    <row r="39" spans="1:20" ht="16.5" x14ac:dyDescent="0.3">
      <c r="B39" s="129" t="s">
        <v>2616</v>
      </c>
      <c r="C39" s="150">
        <v>4.1399999999999997</v>
      </c>
      <c r="D39" s="150">
        <v>8.9</v>
      </c>
      <c r="E39" s="150"/>
      <c r="F39" s="148" t="s">
        <v>2916</v>
      </c>
      <c r="G39" s="128">
        <f t="shared" si="1"/>
        <v>4.1399999999999997</v>
      </c>
      <c r="H39" s="128"/>
      <c r="I39" s="128" t="str">
        <f t="shared" si="2"/>
        <v/>
      </c>
      <c r="J39" s="128"/>
      <c r="K39" s="128" t="str">
        <f t="shared" si="3"/>
        <v/>
      </c>
      <c r="L39" s="128"/>
      <c r="M39" s="128" t="str">
        <f t="shared" si="4"/>
        <v/>
      </c>
      <c r="N39" s="148"/>
      <c r="O39" s="128" t="str">
        <f t="shared" si="5"/>
        <v/>
      </c>
      <c r="P39" s="148"/>
      <c r="Q39" s="128" t="str">
        <f t="shared" si="6"/>
        <v/>
      </c>
      <c r="R39" s="148"/>
      <c r="S39" s="128" t="str">
        <f t="shared" si="7"/>
        <v/>
      </c>
      <c r="T39" s="47" t="str">
        <f t="shared" si="0"/>
        <v>OK!</v>
      </c>
    </row>
    <row r="40" spans="1:20" ht="16.5" x14ac:dyDescent="0.3">
      <c r="B40" s="129" t="s">
        <v>2617</v>
      </c>
      <c r="C40" s="150">
        <v>35.520000000000003</v>
      </c>
      <c r="D40" s="150">
        <v>34.85</v>
      </c>
      <c r="E40" s="150"/>
      <c r="F40" s="148" t="s">
        <v>2916</v>
      </c>
      <c r="G40" s="128">
        <f t="shared" si="1"/>
        <v>35.520000000000003</v>
      </c>
      <c r="H40" s="128"/>
      <c r="I40" s="128" t="str">
        <f t="shared" si="2"/>
        <v/>
      </c>
      <c r="J40" s="128"/>
      <c r="K40" s="128" t="str">
        <f t="shared" si="3"/>
        <v/>
      </c>
      <c r="L40" s="128"/>
      <c r="M40" s="128" t="str">
        <f t="shared" si="4"/>
        <v/>
      </c>
      <c r="N40" s="148"/>
      <c r="O40" s="128" t="str">
        <f t="shared" si="5"/>
        <v/>
      </c>
      <c r="P40" s="148"/>
      <c r="Q40" s="128" t="str">
        <f t="shared" si="6"/>
        <v/>
      </c>
      <c r="R40" s="148"/>
      <c r="S40" s="128" t="str">
        <f t="shared" si="7"/>
        <v/>
      </c>
      <c r="T40" s="47" t="str">
        <f t="shared" si="0"/>
        <v>OK!</v>
      </c>
    </row>
    <row r="41" spans="1:20" ht="16.5" x14ac:dyDescent="0.3">
      <c r="B41" s="129" t="s">
        <v>2618</v>
      </c>
      <c r="C41" s="150">
        <v>4.1399999999999997</v>
      </c>
      <c r="D41" s="150">
        <v>8.9</v>
      </c>
      <c r="E41" s="150"/>
      <c r="F41" s="148" t="s">
        <v>2916</v>
      </c>
      <c r="G41" s="128">
        <f t="shared" si="1"/>
        <v>4.1399999999999997</v>
      </c>
      <c r="H41" s="128"/>
      <c r="I41" s="128" t="str">
        <f t="shared" si="2"/>
        <v/>
      </c>
      <c r="J41" s="128"/>
      <c r="K41" s="128" t="str">
        <f t="shared" si="3"/>
        <v/>
      </c>
      <c r="L41" s="128"/>
      <c r="M41" s="128" t="str">
        <f t="shared" si="4"/>
        <v/>
      </c>
      <c r="N41" s="148"/>
      <c r="O41" s="128" t="str">
        <f t="shared" si="5"/>
        <v/>
      </c>
      <c r="P41" s="148"/>
      <c r="Q41" s="128" t="str">
        <f t="shared" si="6"/>
        <v/>
      </c>
      <c r="R41" s="148"/>
      <c r="S41" s="128" t="str">
        <f t="shared" si="7"/>
        <v/>
      </c>
      <c r="T41" s="47" t="str">
        <f t="shared" si="0"/>
        <v>OK!</v>
      </c>
    </row>
    <row r="42" spans="1:20" ht="16.5" x14ac:dyDescent="0.3">
      <c r="B42" s="129" t="s">
        <v>2619</v>
      </c>
      <c r="C42" s="150">
        <v>5.71</v>
      </c>
      <c r="D42" s="150">
        <v>10.61</v>
      </c>
      <c r="E42" s="150">
        <v>1.6</v>
      </c>
      <c r="F42" s="148" t="s">
        <v>2916</v>
      </c>
      <c r="G42" s="128">
        <f t="shared" si="1"/>
        <v>5.71</v>
      </c>
      <c r="H42" s="128"/>
      <c r="I42" s="128" t="str">
        <f t="shared" si="2"/>
        <v/>
      </c>
      <c r="J42" s="128"/>
      <c r="K42" s="128" t="str">
        <f t="shared" si="3"/>
        <v/>
      </c>
      <c r="L42" s="128"/>
      <c r="M42" s="128" t="str">
        <f t="shared" si="4"/>
        <v/>
      </c>
      <c r="N42" s="148"/>
      <c r="O42" s="128" t="str">
        <f t="shared" si="5"/>
        <v/>
      </c>
      <c r="P42" s="148"/>
      <c r="Q42" s="128" t="str">
        <f t="shared" si="6"/>
        <v/>
      </c>
      <c r="R42" s="148"/>
      <c r="S42" s="128" t="str">
        <f t="shared" si="7"/>
        <v/>
      </c>
      <c r="T42" s="47" t="str">
        <f t="shared" si="0"/>
        <v>OK!</v>
      </c>
    </row>
    <row r="43" spans="1:20" ht="16.5" x14ac:dyDescent="0.3">
      <c r="B43" s="136" t="s">
        <v>2620</v>
      </c>
      <c r="C43" s="150"/>
      <c r="D43" s="150"/>
      <c r="E43" s="150"/>
      <c r="F43" s="148"/>
      <c r="G43" s="128"/>
      <c r="H43" s="128"/>
      <c r="I43" s="128" t="str">
        <f t="shared" si="2"/>
        <v/>
      </c>
      <c r="J43" s="128"/>
      <c r="K43" s="128" t="str">
        <f t="shared" si="3"/>
        <v/>
      </c>
      <c r="L43" s="128"/>
      <c r="M43" s="128" t="str">
        <f t="shared" si="4"/>
        <v/>
      </c>
      <c r="N43" s="148"/>
      <c r="O43" s="128" t="str">
        <f t="shared" si="5"/>
        <v/>
      </c>
      <c r="P43" s="148"/>
      <c r="Q43" s="128" t="str">
        <f t="shared" si="6"/>
        <v/>
      </c>
      <c r="R43" s="148"/>
      <c r="S43" s="128" t="str">
        <f t="shared" si="7"/>
        <v/>
      </c>
      <c r="T43" s="47" t="str">
        <f t="shared" si="0"/>
        <v>OK!</v>
      </c>
    </row>
    <row r="44" spans="1:20" ht="16.5" x14ac:dyDescent="0.3">
      <c r="B44" s="129" t="s">
        <v>2621</v>
      </c>
      <c r="C44" s="150">
        <v>12.76</v>
      </c>
      <c r="D44" s="150">
        <v>16.2</v>
      </c>
      <c r="E44" s="150"/>
      <c r="F44" s="148" t="s">
        <v>2916</v>
      </c>
      <c r="G44" s="128">
        <f t="shared" si="1"/>
        <v>12.76</v>
      </c>
      <c r="H44" s="128"/>
      <c r="I44" s="128" t="str">
        <f t="shared" si="2"/>
        <v/>
      </c>
      <c r="J44" s="128"/>
      <c r="K44" s="128" t="str">
        <f t="shared" si="3"/>
        <v/>
      </c>
      <c r="L44" s="128"/>
      <c r="M44" s="128" t="str">
        <f t="shared" si="4"/>
        <v/>
      </c>
      <c r="N44" s="148"/>
      <c r="O44" s="128" t="str">
        <f t="shared" si="5"/>
        <v/>
      </c>
      <c r="P44" s="148"/>
      <c r="Q44" s="128" t="str">
        <f t="shared" si="6"/>
        <v/>
      </c>
      <c r="R44" s="148"/>
      <c r="S44" s="128" t="str">
        <f t="shared" si="7"/>
        <v/>
      </c>
      <c r="T44" s="47" t="str">
        <f t="shared" si="0"/>
        <v>OK!</v>
      </c>
    </row>
    <row r="45" spans="1:20" ht="16.5" x14ac:dyDescent="0.3">
      <c r="B45" s="129" t="s">
        <v>2591</v>
      </c>
      <c r="C45" s="150">
        <v>2.72</v>
      </c>
      <c r="D45" s="150">
        <v>6.6</v>
      </c>
      <c r="E45" s="150"/>
      <c r="F45" s="148" t="s">
        <v>2916</v>
      </c>
      <c r="G45" s="128">
        <f t="shared" si="1"/>
        <v>2.72</v>
      </c>
      <c r="H45" s="128"/>
      <c r="I45" s="128" t="str">
        <f t="shared" si="2"/>
        <v/>
      </c>
      <c r="J45" s="128"/>
      <c r="K45" s="128" t="str">
        <f t="shared" si="3"/>
        <v/>
      </c>
      <c r="L45" s="128"/>
      <c r="M45" s="128" t="str">
        <f t="shared" si="4"/>
        <v/>
      </c>
      <c r="N45" s="148"/>
      <c r="O45" s="128" t="str">
        <f t="shared" si="5"/>
        <v/>
      </c>
      <c r="P45" s="148"/>
      <c r="Q45" s="128" t="str">
        <f t="shared" si="6"/>
        <v/>
      </c>
      <c r="R45" s="148"/>
      <c r="S45" s="128" t="str">
        <f t="shared" si="7"/>
        <v/>
      </c>
      <c r="T45" s="47" t="str">
        <f t="shared" si="0"/>
        <v>OK!</v>
      </c>
    </row>
    <row r="46" spans="1:20" ht="16.5" x14ac:dyDescent="0.3">
      <c r="B46" s="129" t="s">
        <v>2598</v>
      </c>
      <c r="C46" s="150">
        <v>2.95</v>
      </c>
      <c r="D46" s="150">
        <v>6.9</v>
      </c>
      <c r="E46" s="150"/>
      <c r="F46" s="148" t="s">
        <v>2916</v>
      </c>
      <c r="G46" s="128">
        <f t="shared" si="1"/>
        <v>2.95</v>
      </c>
      <c r="H46" s="128"/>
      <c r="I46" s="128" t="str">
        <f t="shared" si="2"/>
        <v/>
      </c>
      <c r="J46" s="128"/>
      <c r="K46" s="128" t="str">
        <f t="shared" si="3"/>
        <v/>
      </c>
      <c r="L46" s="128"/>
      <c r="M46" s="128" t="str">
        <f t="shared" si="4"/>
        <v/>
      </c>
      <c r="N46" s="148"/>
      <c r="O46" s="128" t="str">
        <f t="shared" si="5"/>
        <v/>
      </c>
      <c r="P46" s="148"/>
      <c r="Q46" s="128" t="str">
        <f t="shared" si="6"/>
        <v/>
      </c>
      <c r="R46" s="148"/>
      <c r="S46" s="128" t="str">
        <f t="shared" si="7"/>
        <v/>
      </c>
      <c r="T46" s="47" t="str">
        <f t="shared" si="0"/>
        <v>OK!</v>
      </c>
    </row>
    <row r="47" spans="1:20" ht="16.5" x14ac:dyDescent="0.3">
      <c r="B47" s="129" t="s">
        <v>2591</v>
      </c>
      <c r="C47" s="150">
        <v>2.72</v>
      </c>
      <c r="D47" s="150">
        <v>6.6</v>
      </c>
      <c r="E47" s="150"/>
      <c r="F47" s="148" t="s">
        <v>2916</v>
      </c>
      <c r="G47" s="128">
        <f t="shared" si="1"/>
        <v>2.72</v>
      </c>
      <c r="H47" s="128"/>
      <c r="I47" s="128" t="str">
        <f t="shared" si="2"/>
        <v/>
      </c>
      <c r="J47" s="128"/>
      <c r="K47" s="128" t="str">
        <f t="shared" si="3"/>
        <v/>
      </c>
      <c r="L47" s="128"/>
      <c r="M47" s="128" t="str">
        <f t="shared" si="4"/>
        <v/>
      </c>
      <c r="N47" s="148"/>
      <c r="O47" s="128" t="str">
        <f t="shared" si="5"/>
        <v/>
      </c>
      <c r="P47" s="148"/>
      <c r="Q47" s="128" t="str">
        <f t="shared" si="6"/>
        <v/>
      </c>
      <c r="R47" s="148"/>
      <c r="S47" s="128" t="str">
        <f t="shared" si="7"/>
        <v/>
      </c>
      <c r="T47" s="47" t="str">
        <f t="shared" si="0"/>
        <v>OK!</v>
      </c>
    </row>
    <row r="48" spans="1:20" ht="16.5" x14ac:dyDescent="0.3">
      <c r="B48" s="129" t="s">
        <v>2622</v>
      </c>
      <c r="C48" s="150">
        <v>4.8499999999999996</v>
      </c>
      <c r="D48" s="150">
        <v>8.81</v>
      </c>
      <c r="E48" s="150"/>
      <c r="F48" s="148" t="s">
        <v>2916</v>
      </c>
      <c r="G48" s="128">
        <f t="shared" si="1"/>
        <v>4.8499999999999996</v>
      </c>
      <c r="H48" s="128"/>
      <c r="I48" s="128" t="str">
        <f t="shared" si="2"/>
        <v/>
      </c>
      <c r="J48" s="128"/>
      <c r="K48" s="128" t="str">
        <f t="shared" si="3"/>
        <v/>
      </c>
      <c r="L48" s="128"/>
      <c r="M48" s="128" t="str">
        <f t="shared" si="4"/>
        <v/>
      </c>
      <c r="N48" s="148"/>
      <c r="O48" s="128" t="str">
        <f t="shared" si="5"/>
        <v/>
      </c>
      <c r="P48" s="148"/>
      <c r="Q48" s="128" t="str">
        <f t="shared" si="6"/>
        <v/>
      </c>
      <c r="R48" s="148"/>
      <c r="S48" s="128" t="str">
        <f t="shared" si="7"/>
        <v/>
      </c>
      <c r="T48" s="47" t="str">
        <f t="shared" si="0"/>
        <v>OK!</v>
      </c>
    </row>
    <row r="49" spans="1:22" ht="16.5" x14ac:dyDescent="0.3">
      <c r="B49" s="129" t="s">
        <v>2624</v>
      </c>
      <c r="C49" s="150">
        <v>4.8499999999999996</v>
      </c>
      <c r="D49" s="150">
        <v>8.81</v>
      </c>
      <c r="E49" s="150"/>
      <c r="F49" s="148" t="s">
        <v>2916</v>
      </c>
      <c r="G49" s="128">
        <f t="shared" si="1"/>
        <v>4.8499999999999996</v>
      </c>
      <c r="H49" s="128"/>
      <c r="I49" s="128" t="str">
        <f t="shared" si="2"/>
        <v/>
      </c>
      <c r="J49" s="128"/>
      <c r="K49" s="128" t="str">
        <f t="shared" si="3"/>
        <v/>
      </c>
      <c r="L49" s="128"/>
      <c r="M49" s="128" t="str">
        <f t="shared" si="4"/>
        <v/>
      </c>
      <c r="N49" s="148"/>
      <c r="O49" s="128" t="str">
        <f t="shared" si="5"/>
        <v/>
      </c>
      <c r="P49" s="148"/>
      <c r="Q49" s="128" t="str">
        <f t="shared" si="6"/>
        <v/>
      </c>
      <c r="R49" s="148"/>
      <c r="S49" s="128" t="str">
        <f t="shared" si="7"/>
        <v/>
      </c>
      <c r="T49" s="47" t="str">
        <f t="shared" si="0"/>
        <v>OK!</v>
      </c>
    </row>
    <row r="50" spans="1:22" ht="16.5" x14ac:dyDescent="0.3">
      <c r="B50" s="129" t="s">
        <v>2594</v>
      </c>
      <c r="C50" s="150">
        <v>5.82</v>
      </c>
      <c r="D50" s="150">
        <v>11.4</v>
      </c>
      <c r="E50" s="150"/>
      <c r="F50" s="148" t="s">
        <v>2916</v>
      </c>
      <c r="G50" s="128">
        <f t="shared" si="1"/>
        <v>5.82</v>
      </c>
      <c r="H50" s="128"/>
      <c r="I50" s="128" t="str">
        <f t="shared" si="2"/>
        <v/>
      </c>
      <c r="J50" s="128"/>
      <c r="K50" s="128" t="str">
        <f t="shared" si="3"/>
        <v/>
      </c>
      <c r="L50" s="128"/>
      <c r="M50" s="128" t="str">
        <f t="shared" si="4"/>
        <v/>
      </c>
      <c r="N50" s="148"/>
      <c r="O50" s="128" t="str">
        <f t="shared" si="5"/>
        <v/>
      </c>
      <c r="P50" s="148"/>
      <c r="Q50" s="128" t="str">
        <f t="shared" si="6"/>
        <v/>
      </c>
      <c r="R50" s="148"/>
      <c r="S50" s="128" t="str">
        <f t="shared" si="7"/>
        <v/>
      </c>
      <c r="T50" s="47" t="str">
        <f t="shared" si="0"/>
        <v>OK!</v>
      </c>
    </row>
    <row r="51" spans="1:22" ht="16.5" x14ac:dyDescent="0.3">
      <c r="B51" s="129" t="s">
        <v>2625</v>
      </c>
      <c r="C51" s="150">
        <v>6.41</v>
      </c>
      <c r="D51" s="150">
        <v>10.199999999999999</v>
      </c>
      <c r="E51" s="150"/>
      <c r="F51" s="148" t="s">
        <v>2916</v>
      </c>
      <c r="G51" s="128">
        <f t="shared" si="1"/>
        <v>6.41</v>
      </c>
      <c r="H51" s="128"/>
      <c r="I51" s="128" t="str">
        <f t="shared" si="2"/>
        <v/>
      </c>
      <c r="J51" s="128"/>
      <c r="K51" s="128" t="str">
        <f t="shared" si="3"/>
        <v/>
      </c>
      <c r="L51" s="128"/>
      <c r="M51" s="128" t="str">
        <f t="shared" si="4"/>
        <v/>
      </c>
      <c r="N51" s="148"/>
      <c r="O51" s="128" t="str">
        <f t="shared" si="5"/>
        <v/>
      </c>
      <c r="P51" s="148"/>
      <c r="Q51" s="128" t="str">
        <f t="shared" si="6"/>
        <v/>
      </c>
      <c r="R51" s="148"/>
      <c r="S51" s="128" t="str">
        <f t="shared" si="7"/>
        <v/>
      </c>
      <c r="T51" s="47" t="str">
        <f t="shared" si="0"/>
        <v>OK!</v>
      </c>
      <c r="U51" s="49"/>
    </row>
    <row r="52" spans="1:22" ht="16.5" x14ac:dyDescent="0.3">
      <c r="B52" s="129" t="s">
        <v>2626</v>
      </c>
      <c r="C52" s="150">
        <v>10.66</v>
      </c>
      <c r="D52" s="150">
        <v>15.21</v>
      </c>
      <c r="E52" s="150"/>
      <c r="F52" s="148" t="s">
        <v>2916</v>
      </c>
      <c r="G52" s="128">
        <f t="shared" si="1"/>
        <v>10.66</v>
      </c>
      <c r="H52" s="128"/>
      <c r="I52" s="128" t="str">
        <f t="shared" si="2"/>
        <v/>
      </c>
      <c r="J52" s="128"/>
      <c r="K52" s="128" t="str">
        <f t="shared" si="3"/>
        <v/>
      </c>
      <c r="L52" s="128"/>
      <c r="M52" s="128" t="str">
        <f t="shared" si="4"/>
        <v/>
      </c>
      <c r="N52" s="148"/>
      <c r="O52" s="128" t="str">
        <f t="shared" si="5"/>
        <v/>
      </c>
      <c r="P52" s="148"/>
      <c r="Q52" s="128" t="str">
        <f t="shared" si="6"/>
        <v/>
      </c>
      <c r="R52" s="148"/>
      <c r="S52" s="128" t="str">
        <f t="shared" si="7"/>
        <v/>
      </c>
      <c r="T52" s="47" t="str">
        <f t="shared" si="0"/>
        <v>OK!</v>
      </c>
      <c r="U52" s="49"/>
    </row>
    <row r="53" spans="1:22" ht="16.5" x14ac:dyDescent="0.3">
      <c r="B53" s="129" t="s">
        <v>2627</v>
      </c>
      <c r="C53" s="150">
        <v>12.95</v>
      </c>
      <c r="D53" s="150">
        <v>15.45</v>
      </c>
      <c r="E53" s="150"/>
      <c r="F53" s="148" t="s">
        <v>2916</v>
      </c>
      <c r="G53" s="128">
        <f t="shared" si="1"/>
        <v>12.95</v>
      </c>
      <c r="H53" s="128"/>
      <c r="I53" s="128" t="str">
        <f t="shared" si="2"/>
        <v/>
      </c>
      <c r="J53" s="128"/>
      <c r="K53" s="128" t="str">
        <f t="shared" si="3"/>
        <v/>
      </c>
      <c r="L53" s="128"/>
      <c r="M53" s="128" t="str">
        <f t="shared" si="4"/>
        <v/>
      </c>
      <c r="N53" s="148"/>
      <c r="O53" s="128" t="str">
        <f t="shared" si="5"/>
        <v/>
      </c>
      <c r="P53" s="148"/>
      <c r="Q53" s="128" t="str">
        <f t="shared" si="6"/>
        <v/>
      </c>
      <c r="R53" s="148"/>
      <c r="S53" s="128" t="str">
        <f t="shared" si="7"/>
        <v/>
      </c>
      <c r="T53" s="47" t="str">
        <f t="shared" si="0"/>
        <v>OK!</v>
      </c>
    </row>
    <row r="54" spans="1:22" ht="16.5" x14ac:dyDescent="0.3">
      <c r="B54" s="129" t="s">
        <v>2628</v>
      </c>
      <c r="C54" s="150">
        <v>9.59</v>
      </c>
      <c r="D54" s="150">
        <v>12.57</v>
      </c>
      <c r="E54" s="150"/>
      <c r="F54" s="148" t="s">
        <v>2916</v>
      </c>
      <c r="G54" s="128">
        <f t="shared" si="1"/>
        <v>9.59</v>
      </c>
      <c r="H54" s="128"/>
      <c r="I54" s="128" t="str">
        <f t="shared" si="2"/>
        <v/>
      </c>
      <c r="J54" s="128"/>
      <c r="K54" s="128" t="str">
        <f t="shared" si="3"/>
        <v/>
      </c>
      <c r="L54" s="128"/>
      <c r="M54" s="128" t="str">
        <f t="shared" si="4"/>
        <v/>
      </c>
      <c r="N54" s="148"/>
      <c r="O54" s="128" t="str">
        <f t="shared" si="5"/>
        <v/>
      </c>
      <c r="P54" s="148"/>
      <c r="Q54" s="128" t="str">
        <f t="shared" si="6"/>
        <v/>
      </c>
      <c r="R54" s="148"/>
      <c r="S54" s="128" t="str">
        <f t="shared" si="7"/>
        <v/>
      </c>
      <c r="T54" s="47" t="str">
        <f t="shared" si="0"/>
        <v>OK!</v>
      </c>
    </row>
    <row r="55" spans="1:22" ht="16.5" x14ac:dyDescent="0.3">
      <c r="B55" s="129" t="s">
        <v>2629</v>
      </c>
      <c r="C55" s="150">
        <v>102.44</v>
      </c>
      <c r="D55" s="150">
        <v>45.65</v>
      </c>
      <c r="E55" s="150">
        <v>1.2</v>
      </c>
      <c r="F55" s="148" t="s">
        <v>2916</v>
      </c>
      <c r="G55" s="128">
        <f t="shared" si="1"/>
        <v>102.44</v>
      </c>
      <c r="H55" s="128"/>
      <c r="I55" s="128" t="str">
        <f t="shared" si="2"/>
        <v/>
      </c>
      <c r="J55" s="128"/>
      <c r="K55" s="128" t="str">
        <f t="shared" si="3"/>
        <v/>
      </c>
      <c r="L55" s="128"/>
      <c r="M55" s="128" t="str">
        <f t="shared" si="4"/>
        <v/>
      </c>
      <c r="N55" s="148"/>
      <c r="O55" s="128" t="str">
        <f t="shared" si="5"/>
        <v/>
      </c>
      <c r="P55" s="148"/>
      <c r="Q55" s="128" t="str">
        <f t="shared" si="6"/>
        <v/>
      </c>
      <c r="R55" s="148"/>
      <c r="S55" s="128" t="str">
        <f t="shared" si="7"/>
        <v/>
      </c>
      <c r="T55" s="47" t="str">
        <f t="shared" si="0"/>
        <v>OK!</v>
      </c>
      <c r="V55" s="50"/>
    </row>
    <row r="56" spans="1:22" ht="16.5" x14ac:dyDescent="0.3">
      <c r="B56" s="129" t="s">
        <v>2594</v>
      </c>
      <c r="C56" s="150">
        <v>17.53</v>
      </c>
      <c r="D56" s="150">
        <v>21.38</v>
      </c>
      <c r="E56" s="150">
        <f>1.2+1.52+2.25+3.27</f>
        <v>8.24</v>
      </c>
      <c r="F56" s="148"/>
      <c r="G56" s="128" t="str">
        <f t="shared" si="1"/>
        <v/>
      </c>
      <c r="H56" s="128"/>
      <c r="I56" s="128" t="str">
        <f t="shared" si="2"/>
        <v/>
      </c>
      <c r="J56" s="128"/>
      <c r="K56" s="128" t="str">
        <f t="shared" si="3"/>
        <v/>
      </c>
      <c r="L56" s="128"/>
      <c r="M56" s="128" t="str">
        <f t="shared" si="4"/>
        <v/>
      </c>
      <c r="N56" s="148" t="s">
        <v>2916</v>
      </c>
      <c r="O56" s="128">
        <f t="shared" si="5"/>
        <v>17.53</v>
      </c>
      <c r="P56" s="148"/>
      <c r="Q56" s="128" t="str">
        <f t="shared" si="6"/>
        <v/>
      </c>
      <c r="R56" s="148"/>
      <c r="S56" s="128" t="str">
        <f t="shared" si="7"/>
        <v/>
      </c>
      <c r="T56" s="47" t="str">
        <f t="shared" si="0"/>
        <v>OK!</v>
      </c>
      <c r="V56" s="50"/>
    </row>
    <row r="57" spans="1:22" ht="16.5" x14ac:dyDescent="0.3">
      <c r="A57" s="130"/>
      <c r="B57" s="129" t="s">
        <v>2630</v>
      </c>
      <c r="C57" s="150">
        <v>7.07</v>
      </c>
      <c r="D57" s="150">
        <v>10.8</v>
      </c>
      <c r="E57" s="150">
        <v>1.1200000000000001</v>
      </c>
      <c r="F57" s="148"/>
      <c r="G57" s="128" t="str">
        <f t="shared" si="1"/>
        <v/>
      </c>
      <c r="H57" s="128"/>
      <c r="I57" s="128" t="str">
        <f t="shared" si="2"/>
        <v/>
      </c>
      <c r="J57" s="128"/>
      <c r="K57" s="128" t="str">
        <f t="shared" si="3"/>
        <v/>
      </c>
      <c r="L57" s="128"/>
      <c r="M57" s="128" t="str">
        <f t="shared" si="4"/>
        <v/>
      </c>
      <c r="N57" s="148" t="s">
        <v>2916</v>
      </c>
      <c r="O57" s="128">
        <f t="shared" si="5"/>
        <v>7.07</v>
      </c>
      <c r="P57" s="148"/>
      <c r="Q57" s="128" t="str">
        <f t="shared" si="6"/>
        <v/>
      </c>
      <c r="R57" s="148"/>
      <c r="S57" s="128" t="str">
        <f t="shared" si="7"/>
        <v/>
      </c>
      <c r="T57" s="47" t="str">
        <f t="shared" si="0"/>
        <v>OK!</v>
      </c>
      <c r="V57" s="50"/>
    </row>
    <row r="58" spans="1:22" ht="16.5" x14ac:dyDescent="0.3">
      <c r="A58" s="130"/>
      <c r="B58" s="129" t="s">
        <v>2631</v>
      </c>
      <c r="C58" s="150">
        <v>7</v>
      </c>
      <c r="D58" s="150">
        <v>10.75</v>
      </c>
      <c r="E58" s="150">
        <v>1.1200000000000001</v>
      </c>
      <c r="F58" s="148"/>
      <c r="G58" s="128" t="str">
        <f t="shared" si="1"/>
        <v/>
      </c>
      <c r="H58" s="128"/>
      <c r="I58" s="128" t="str">
        <f t="shared" si="2"/>
        <v/>
      </c>
      <c r="J58" s="128"/>
      <c r="K58" s="128" t="str">
        <f t="shared" si="3"/>
        <v/>
      </c>
      <c r="L58" s="128"/>
      <c r="M58" s="128" t="str">
        <f t="shared" si="4"/>
        <v/>
      </c>
      <c r="N58" s="148" t="s">
        <v>2916</v>
      </c>
      <c r="O58" s="128">
        <f t="shared" si="5"/>
        <v>7</v>
      </c>
      <c r="P58" s="148"/>
      <c r="Q58" s="128" t="str">
        <f t="shared" si="6"/>
        <v/>
      </c>
      <c r="R58" s="148"/>
      <c r="S58" s="128" t="str">
        <f t="shared" si="7"/>
        <v/>
      </c>
      <c r="T58" s="47" t="str">
        <f t="shared" si="0"/>
        <v>OK!</v>
      </c>
      <c r="V58" s="50"/>
    </row>
    <row r="59" spans="1:22" ht="16.5" x14ac:dyDescent="0.3">
      <c r="B59" s="129" t="s">
        <v>2632</v>
      </c>
      <c r="C59" s="150">
        <v>7.43</v>
      </c>
      <c r="D59" s="150">
        <v>11.1</v>
      </c>
      <c r="E59" s="150"/>
      <c r="F59" s="148"/>
      <c r="G59" s="128" t="str">
        <f t="shared" si="1"/>
        <v/>
      </c>
      <c r="H59" s="128"/>
      <c r="I59" s="128" t="str">
        <f t="shared" si="2"/>
        <v/>
      </c>
      <c r="J59" s="128"/>
      <c r="K59" s="128" t="str">
        <f t="shared" si="3"/>
        <v/>
      </c>
      <c r="L59" s="128"/>
      <c r="M59" s="128" t="str">
        <f t="shared" si="4"/>
        <v/>
      </c>
      <c r="N59" s="148" t="s">
        <v>2916</v>
      </c>
      <c r="O59" s="128">
        <f t="shared" si="5"/>
        <v>7.43</v>
      </c>
      <c r="P59" s="148"/>
      <c r="Q59" s="128" t="str">
        <f t="shared" si="6"/>
        <v/>
      </c>
      <c r="R59" s="148"/>
      <c r="S59" s="128" t="str">
        <f t="shared" si="7"/>
        <v/>
      </c>
      <c r="T59" s="47" t="str">
        <f t="shared" si="0"/>
        <v>OK!</v>
      </c>
    </row>
    <row r="60" spans="1:22" ht="16.5" x14ac:dyDescent="0.3">
      <c r="B60" s="129" t="s">
        <v>2633</v>
      </c>
      <c r="C60" s="150">
        <v>7.02</v>
      </c>
      <c r="D60" s="150">
        <v>10.74</v>
      </c>
      <c r="E60" s="150"/>
      <c r="F60" s="148"/>
      <c r="G60" s="128" t="str">
        <f t="shared" si="1"/>
        <v/>
      </c>
      <c r="H60" s="128"/>
      <c r="I60" s="128" t="str">
        <f t="shared" si="2"/>
        <v/>
      </c>
      <c r="J60" s="128"/>
      <c r="K60" s="128" t="str">
        <f t="shared" si="3"/>
        <v/>
      </c>
      <c r="L60" s="128"/>
      <c r="M60" s="128" t="str">
        <f t="shared" si="4"/>
        <v/>
      </c>
      <c r="N60" s="148" t="s">
        <v>2916</v>
      </c>
      <c r="O60" s="128">
        <f t="shared" si="5"/>
        <v>7.02</v>
      </c>
      <c r="P60" s="148"/>
      <c r="Q60" s="128" t="str">
        <f t="shared" si="6"/>
        <v/>
      </c>
      <c r="R60" s="148"/>
      <c r="S60" s="128" t="str">
        <f t="shared" si="7"/>
        <v/>
      </c>
      <c r="T60" s="47" t="str">
        <f t="shared" si="0"/>
        <v>OK!</v>
      </c>
    </row>
    <row r="61" spans="1:22" ht="16.5" x14ac:dyDescent="0.3">
      <c r="B61" s="129" t="s">
        <v>2634</v>
      </c>
      <c r="C61" s="150">
        <v>10.8</v>
      </c>
      <c r="D61" s="150">
        <v>14.16</v>
      </c>
      <c r="E61" s="150"/>
      <c r="F61" s="148"/>
      <c r="G61" s="128" t="str">
        <f t="shared" si="1"/>
        <v/>
      </c>
      <c r="H61" s="128"/>
      <c r="I61" s="128" t="str">
        <f t="shared" si="2"/>
        <v/>
      </c>
      <c r="J61" s="128"/>
      <c r="K61" s="128" t="str">
        <f t="shared" si="3"/>
        <v/>
      </c>
      <c r="L61" s="128" t="s">
        <v>2916</v>
      </c>
      <c r="M61" s="128">
        <f t="shared" si="4"/>
        <v>10.8</v>
      </c>
      <c r="N61" s="148"/>
      <c r="O61" s="128" t="str">
        <f t="shared" si="5"/>
        <v/>
      </c>
      <c r="P61" s="148"/>
      <c r="Q61" s="128" t="str">
        <f t="shared" si="6"/>
        <v/>
      </c>
      <c r="R61" s="148"/>
      <c r="S61" s="128" t="str">
        <f t="shared" si="7"/>
        <v/>
      </c>
      <c r="T61" s="47" t="str">
        <f t="shared" si="0"/>
        <v>OK!</v>
      </c>
    </row>
    <row r="62" spans="1:22" ht="16.5" x14ac:dyDescent="0.3">
      <c r="B62" s="129" t="s">
        <v>2635</v>
      </c>
      <c r="C62" s="150">
        <v>6.42</v>
      </c>
      <c r="D62" s="150">
        <v>10.23</v>
      </c>
      <c r="E62" s="150"/>
      <c r="F62" s="148"/>
      <c r="G62" s="128" t="str">
        <f t="shared" si="1"/>
        <v/>
      </c>
      <c r="H62" s="128"/>
      <c r="I62" s="128" t="str">
        <f t="shared" si="2"/>
        <v/>
      </c>
      <c r="J62" s="128"/>
      <c r="K62" s="128" t="str">
        <f t="shared" si="3"/>
        <v/>
      </c>
      <c r="L62" s="128"/>
      <c r="M62" s="128" t="str">
        <f t="shared" si="4"/>
        <v/>
      </c>
      <c r="N62" s="148" t="s">
        <v>2916</v>
      </c>
      <c r="O62" s="128">
        <f t="shared" si="5"/>
        <v>6.42</v>
      </c>
      <c r="P62" s="148"/>
      <c r="Q62" s="128" t="str">
        <f t="shared" si="6"/>
        <v/>
      </c>
      <c r="R62" s="148"/>
      <c r="S62" s="128" t="str">
        <f t="shared" si="7"/>
        <v/>
      </c>
      <c r="T62" s="47" t="str">
        <f t="shared" si="0"/>
        <v>OK!</v>
      </c>
    </row>
    <row r="63" spans="1:22" ht="16.5" x14ac:dyDescent="0.3">
      <c r="B63" s="129" t="s">
        <v>2636</v>
      </c>
      <c r="C63" s="150">
        <v>6.45</v>
      </c>
      <c r="D63" s="150">
        <v>10.23</v>
      </c>
      <c r="E63" s="150">
        <f>1.5*2</f>
        <v>3</v>
      </c>
      <c r="F63" s="148"/>
      <c r="G63" s="128" t="str">
        <f t="shared" si="1"/>
        <v/>
      </c>
      <c r="H63" s="128"/>
      <c r="I63" s="128" t="str">
        <f t="shared" si="2"/>
        <v/>
      </c>
      <c r="J63" s="128"/>
      <c r="K63" s="128" t="str">
        <f t="shared" si="3"/>
        <v/>
      </c>
      <c r="L63" s="128"/>
      <c r="M63" s="128" t="str">
        <f t="shared" si="4"/>
        <v/>
      </c>
      <c r="N63" s="148" t="s">
        <v>2916</v>
      </c>
      <c r="O63" s="128">
        <f t="shared" si="5"/>
        <v>6.45</v>
      </c>
      <c r="P63" s="148"/>
      <c r="Q63" s="128" t="str">
        <f t="shared" si="6"/>
        <v/>
      </c>
      <c r="R63" s="148"/>
      <c r="S63" s="128" t="str">
        <f t="shared" si="7"/>
        <v/>
      </c>
      <c r="T63" s="47" t="str">
        <f t="shared" si="0"/>
        <v>OK!</v>
      </c>
    </row>
    <row r="64" spans="1:22" ht="16.5" x14ac:dyDescent="0.3">
      <c r="B64" s="129" t="s">
        <v>2637</v>
      </c>
      <c r="C64" s="150">
        <v>10.78</v>
      </c>
      <c r="D64" s="150">
        <v>14.15</v>
      </c>
      <c r="E64" s="150"/>
      <c r="F64" s="148"/>
      <c r="G64" s="128" t="str">
        <f t="shared" si="1"/>
        <v/>
      </c>
      <c r="H64" s="128"/>
      <c r="I64" s="128" t="str">
        <f t="shared" si="2"/>
        <v/>
      </c>
      <c r="J64" s="128"/>
      <c r="K64" s="128" t="str">
        <f t="shared" si="3"/>
        <v/>
      </c>
      <c r="L64" s="128"/>
      <c r="M64" s="128" t="str">
        <f t="shared" si="4"/>
        <v/>
      </c>
      <c r="N64" s="148" t="s">
        <v>2916</v>
      </c>
      <c r="O64" s="128">
        <f t="shared" si="5"/>
        <v>10.78</v>
      </c>
      <c r="P64" s="148"/>
      <c r="Q64" s="128" t="str">
        <f t="shared" si="6"/>
        <v/>
      </c>
      <c r="R64" s="148"/>
      <c r="S64" s="128" t="str">
        <f t="shared" si="7"/>
        <v/>
      </c>
      <c r="T64" s="47" t="str">
        <f t="shared" si="0"/>
        <v>OK!</v>
      </c>
    </row>
    <row r="65" spans="2:20" ht="16.5" x14ac:dyDescent="0.3">
      <c r="B65" s="129" t="s">
        <v>2594</v>
      </c>
      <c r="C65" s="150">
        <v>8.39</v>
      </c>
      <c r="D65" s="150">
        <v>12.93</v>
      </c>
      <c r="E65" s="150">
        <v>1.5</v>
      </c>
      <c r="F65" s="148"/>
      <c r="G65" s="128" t="str">
        <f t="shared" si="1"/>
        <v/>
      </c>
      <c r="H65" s="128"/>
      <c r="I65" s="128" t="str">
        <f t="shared" si="2"/>
        <v/>
      </c>
      <c r="J65" s="128"/>
      <c r="K65" s="128" t="str">
        <f t="shared" si="3"/>
        <v/>
      </c>
      <c r="L65" s="128"/>
      <c r="M65" s="128" t="str">
        <f t="shared" si="4"/>
        <v/>
      </c>
      <c r="N65" s="148" t="s">
        <v>2916</v>
      </c>
      <c r="O65" s="128">
        <f t="shared" si="5"/>
        <v>8.39</v>
      </c>
      <c r="P65" s="148"/>
      <c r="Q65" s="128" t="str">
        <f t="shared" si="6"/>
        <v/>
      </c>
      <c r="R65" s="148"/>
      <c r="S65" s="128" t="str">
        <f t="shared" si="7"/>
        <v/>
      </c>
      <c r="T65" s="47" t="str">
        <f t="shared" si="0"/>
        <v>OK!</v>
      </c>
    </row>
    <row r="66" spans="2:20" ht="16.5" x14ac:dyDescent="0.3">
      <c r="B66" s="129" t="s">
        <v>2638</v>
      </c>
      <c r="C66" s="150">
        <v>52.43</v>
      </c>
      <c r="D66" s="150">
        <v>32.94</v>
      </c>
      <c r="E66" s="150">
        <v>3.27</v>
      </c>
      <c r="F66" s="148"/>
      <c r="G66" s="128" t="str">
        <f t="shared" si="1"/>
        <v/>
      </c>
      <c r="H66" s="128"/>
      <c r="I66" s="128" t="str">
        <f t="shared" si="2"/>
        <v/>
      </c>
      <c r="J66" s="128"/>
      <c r="K66" s="128" t="str">
        <f t="shared" si="3"/>
        <v/>
      </c>
      <c r="L66" s="128"/>
      <c r="M66" s="128" t="str">
        <f t="shared" si="4"/>
        <v/>
      </c>
      <c r="N66" s="148" t="s">
        <v>2916</v>
      </c>
      <c r="O66" s="128">
        <f t="shared" si="5"/>
        <v>52.43</v>
      </c>
      <c r="P66" s="148"/>
      <c r="Q66" s="128" t="str">
        <f t="shared" si="6"/>
        <v/>
      </c>
      <c r="R66" s="148"/>
      <c r="S66" s="128" t="str">
        <f t="shared" si="7"/>
        <v/>
      </c>
      <c r="T66" s="47" t="str">
        <f t="shared" si="0"/>
        <v>OK!</v>
      </c>
    </row>
    <row r="67" spans="2:20" ht="16.5" x14ac:dyDescent="0.3">
      <c r="B67" s="129" t="s">
        <v>2591</v>
      </c>
      <c r="C67" s="150">
        <v>1.73</v>
      </c>
      <c r="D67" s="150">
        <v>5.4</v>
      </c>
      <c r="E67" s="150"/>
      <c r="F67" s="148"/>
      <c r="G67" s="128" t="str">
        <f t="shared" si="1"/>
        <v/>
      </c>
      <c r="H67" s="128"/>
      <c r="I67" s="128" t="str">
        <f t="shared" si="2"/>
        <v/>
      </c>
      <c r="J67" s="128"/>
      <c r="K67" s="128" t="str">
        <f t="shared" si="3"/>
        <v/>
      </c>
      <c r="L67" s="128"/>
      <c r="M67" s="128" t="str">
        <f t="shared" si="4"/>
        <v/>
      </c>
      <c r="N67" s="148" t="s">
        <v>2916</v>
      </c>
      <c r="O67" s="128">
        <f t="shared" si="5"/>
        <v>1.73</v>
      </c>
      <c r="P67" s="148"/>
      <c r="Q67" s="128" t="str">
        <f t="shared" si="6"/>
        <v/>
      </c>
      <c r="R67" s="148"/>
      <c r="S67" s="128" t="str">
        <f t="shared" si="7"/>
        <v/>
      </c>
      <c r="T67" s="47" t="str">
        <f t="shared" si="0"/>
        <v>OK!</v>
      </c>
    </row>
    <row r="68" spans="2:20" ht="16.5" x14ac:dyDescent="0.3">
      <c r="B68" s="129" t="s">
        <v>2639</v>
      </c>
      <c r="C68" s="150">
        <v>58.49</v>
      </c>
      <c r="D68" s="150">
        <v>52.53</v>
      </c>
      <c r="E68" s="150">
        <f>2.85+1.9</f>
        <v>4.75</v>
      </c>
      <c r="F68" s="148" t="s">
        <v>2916</v>
      </c>
      <c r="G68" s="128">
        <f t="shared" si="1"/>
        <v>58.49</v>
      </c>
      <c r="H68" s="128"/>
      <c r="I68" s="128" t="str">
        <f t="shared" si="2"/>
        <v/>
      </c>
      <c r="J68" s="128"/>
      <c r="K68" s="128" t="str">
        <f t="shared" si="3"/>
        <v/>
      </c>
      <c r="L68" s="128"/>
      <c r="M68" s="128" t="str">
        <f t="shared" si="4"/>
        <v/>
      </c>
      <c r="N68" s="148"/>
      <c r="O68" s="128" t="str">
        <f t="shared" si="5"/>
        <v/>
      </c>
      <c r="P68" s="148"/>
      <c r="Q68" s="128" t="str">
        <f t="shared" si="6"/>
        <v/>
      </c>
      <c r="R68" s="148"/>
      <c r="S68" s="128" t="str">
        <f t="shared" si="7"/>
        <v/>
      </c>
      <c r="T68" s="47" t="str">
        <f t="shared" si="0"/>
        <v>OK!</v>
      </c>
    </row>
    <row r="69" spans="2:20" ht="16.5" x14ac:dyDescent="0.3">
      <c r="B69" s="129" t="s">
        <v>2640</v>
      </c>
      <c r="C69" s="128">
        <v>75.41</v>
      </c>
      <c r="D69" s="128">
        <v>58.55</v>
      </c>
      <c r="E69" s="128"/>
      <c r="F69" s="148" t="s">
        <v>2916</v>
      </c>
      <c r="G69" s="128">
        <f t="shared" si="1"/>
        <v>75.41</v>
      </c>
      <c r="H69" s="128"/>
      <c r="I69" s="128" t="str">
        <f t="shared" si="2"/>
        <v/>
      </c>
      <c r="J69" s="128"/>
      <c r="K69" s="128" t="str">
        <f t="shared" si="3"/>
        <v/>
      </c>
      <c r="L69" s="128"/>
      <c r="M69" s="128" t="str">
        <f t="shared" si="4"/>
        <v/>
      </c>
      <c r="N69" s="148"/>
      <c r="O69" s="128" t="str">
        <f t="shared" si="5"/>
        <v/>
      </c>
      <c r="P69" s="148"/>
      <c r="Q69" s="128" t="str">
        <f t="shared" si="6"/>
        <v/>
      </c>
      <c r="R69" s="148"/>
      <c r="S69" s="128" t="str">
        <f t="shared" si="7"/>
        <v/>
      </c>
      <c r="T69" s="47" t="str">
        <f t="shared" ref="T69:T132" si="8">IF(COUNT(F69:S69)&gt;1,"Corrigir!","OK!")</f>
        <v>OK!</v>
      </c>
    </row>
    <row r="70" spans="2:20" ht="16.5" x14ac:dyDescent="0.3">
      <c r="B70" s="136" t="s">
        <v>2641</v>
      </c>
      <c r="C70" s="128"/>
      <c r="D70" s="128"/>
      <c r="E70" s="128"/>
      <c r="F70" s="148"/>
      <c r="G70" s="128"/>
      <c r="H70" s="128"/>
      <c r="I70" s="128" t="str">
        <f t="shared" si="2"/>
        <v/>
      </c>
      <c r="J70" s="128"/>
      <c r="K70" s="128" t="str">
        <f t="shared" si="3"/>
        <v/>
      </c>
      <c r="L70" s="128"/>
      <c r="M70" s="128" t="str">
        <f t="shared" si="4"/>
        <v/>
      </c>
      <c r="N70" s="148"/>
      <c r="O70" s="128" t="str">
        <f t="shared" si="5"/>
        <v/>
      </c>
      <c r="P70" s="148"/>
      <c r="Q70" s="128" t="str">
        <f t="shared" si="6"/>
        <v/>
      </c>
      <c r="R70" s="148"/>
      <c r="S70" s="128" t="str">
        <f t="shared" si="7"/>
        <v/>
      </c>
      <c r="T70" s="47" t="str">
        <f t="shared" si="8"/>
        <v>OK!</v>
      </c>
    </row>
    <row r="71" spans="2:20" ht="16.5" x14ac:dyDescent="0.3">
      <c r="B71" s="129" t="s">
        <v>2642</v>
      </c>
      <c r="C71" s="128">
        <v>25.29</v>
      </c>
      <c r="D71" s="128">
        <v>21.07</v>
      </c>
      <c r="E71" s="128"/>
      <c r="F71" s="148" t="s">
        <v>2916</v>
      </c>
      <c r="G71" s="128">
        <f t="shared" ref="G71:G134" si="9">IF(F71="x",$C71,"")</f>
        <v>25.29</v>
      </c>
      <c r="H71" s="128"/>
      <c r="I71" s="128" t="str">
        <f t="shared" ref="I71:I134" si="10">IF(H71="x",$C71,"")</f>
        <v/>
      </c>
      <c r="J71" s="128"/>
      <c r="K71" s="128" t="str">
        <f t="shared" ref="K71:K134" si="11">IF(J71="x",$C71,"")</f>
        <v/>
      </c>
      <c r="L71" s="128"/>
      <c r="M71" s="128" t="str">
        <f t="shared" ref="M71:M134" si="12">IF(L71="x",$C71,"")</f>
        <v/>
      </c>
      <c r="N71" s="148"/>
      <c r="O71" s="128" t="str">
        <f t="shared" ref="O71:O134" si="13">IF(N71="x",$C71,"")</f>
        <v/>
      </c>
      <c r="P71" s="148"/>
      <c r="Q71" s="128" t="str">
        <f t="shared" ref="Q71:Q134" si="14">IF(P71="x",$C71,"")</f>
        <v/>
      </c>
      <c r="R71" s="148"/>
      <c r="S71" s="128" t="str">
        <f t="shared" ref="S71:S134" si="15">IF(R71="x",$C71,"")</f>
        <v/>
      </c>
      <c r="T71" s="47" t="str">
        <f t="shared" si="8"/>
        <v>OK!</v>
      </c>
    </row>
    <row r="72" spans="2:20" ht="16.5" x14ac:dyDescent="0.3">
      <c r="B72" s="129" t="s">
        <v>2643</v>
      </c>
      <c r="C72" s="128">
        <v>5.17</v>
      </c>
      <c r="D72" s="128">
        <v>9.99</v>
      </c>
      <c r="E72" s="128"/>
      <c r="F72" s="148" t="s">
        <v>2916</v>
      </c>
      <c r="G72" s="128">
        <f t="shared" si="9"/>
        <v>5.17</v>
      </c>
      <c r="H72" s="128"/>
      <c r="I72" s="128" t="str">
        <f t="shared" si="10"/>
        <v/>
      </c>
      <c r="J72" s="128"/>
      <c r="K72" s="128" t="str">
        <f t="shared" si="11"/>
        <v/>
      </c>
      <c r="L72" s="128"/>
      <c r="M72" s="128" t="str">
        <f t="shared" si="12"/>
        <v/>
      </c>
      <c r="N72" s="148"/>
      <c r="O72" s="128" t="str">
        <f t="shared" si="13"/>
        <v/>
      </c>
      <c r="P72" s="148"/>
      <c r="Q72" s="128" t="str">
        <f t="shared" si="14"/>
        <v/>
      </c>
      <c r="R72" s="148"/>
      <c r="S72" s="128" t="str">
        <f t="shared" si="15"/>
        <v/>
      </c>
      <c r="T72" s="47" t="str">
        <f t="shared" si="8"/>
        <v>OK!</v>
      </c>
    </row>
    <row r="73" spans="2:20" ht="16.5" x14ac:dyDescent="0.3">
      <c r="B73" s="129" t="s">
        <v>2644</v>
      </c>
      <c r="C73" s="128">
        <v>25.39</v>
      </c>
      <c r="D73" s="128">
        <v>21.12</v>
      </c>
      <c r="E73" s="128"/>
      <c r="F73" s="148" t="s">
        <v>2916</v>
      </c>
      <c r="G73" s="128">
        <f t="shared" si="9"/>
        <v>25.39</v>
      </c>
      <c r="H73" s="128"/>
      <c r="I73" s="128" t="str">
        <f t="shared" si="10"/>
        <v/>
      </c>
      <c r="J73" s="128"/>
      <c r="K73" s="128" t="str">
        <f t="shared" si="11"/>
        <v/>
      </c>
      <c r="L73" s="128"/>
      <c r="M73" s="128" t="str">
        <f t="shared" si="12"/>
        <v/>
      </c>
      <c r="N73" s="148"/>
      <c r="O73" s="128" t="str">
        <f t="shared" si="13"/>
        <v/>
      </c>
      <c r="P73" s="148"/>
      <c r="Q73" s="128" t="str">
        <f t="shared" si="14"/>
        <v/>
      </c>
      <c r="R73" s="148"/>
      <c r="S73" s="128" t="str">
        <f t="shared" si="15"/>
        <v/>
      </c>
      <c r="T73" s="47" t="str">
        <f t="shared" si="8"/>
        <v>OK!</v>
      </c>
    </row>
    <row r="74" spans="2:20" ht="16.5" x14ac:dyDescent="0.3">
      <c r="B74" s="129" t="s">
        <v>2645</v>
      </c>
      <c r="C74" s="128">
        <v>5.18</v>
      </c>
      <c r="D74" s="128">
        <v>10</v>
      </c>
      <c r="E74" s="128"/>
      <c r="F74" s="148" t="s">
        <v>2916</v>
      </c>
      <c r="G74" s="128">
        <f t="shared" si="9"/>
        <v>5.18</v>
      </c>
      <c r="H74" s="128"/>
      <c r="I74" s="128" t="str">
        <f t="shared" si="10"/>
        <v/>
      </c>
      <c r="J74" s="128"/>
      <c r="K74" s="128" t="str">
        <f t="shared" si="11"/>
        <v/>
      </c>
      <c r="L74" s="128"/>
      <c r="M74" s="128" t="str">
        <f t="shared" si="12"/>
        <v/>
      </c>
      <c r="N74" s="148"/>
      <c r="O74" s="128" t="str">
        <f t="shared" si="13"/>
        <v/>
      </c>
      <c r="P74" s="148"/>
      <c r="Q74" s="128" t="str">
        <f t="shared" si="14"/>
        <v/>
      </c>
      <c r="R74" s="148"/>
      <c r="S74" s="128" t="str">
        <f t="shared" si="15"/>
        <v/>
      </c>
      <c r="T74" s="47" t="str">
        <f t="shared" si="8"/>
        <v>OK!</v>
      </c>
    </row>
    <row r="75" spans="2:20" ht="16.5" x14ac:dyDescent="0.3">
      <c r="B75" s="129" t="s">
        <v>2646</v>
      </c>
      <c r="C75" s="128">
        <v>25.4</v>
      </c>
      <c r="D75" s="128">
        <v>21.12</v>
      </c>
      <c r="E75" s="128"/>
      <c r="F75" s="148" t="s">
        <v>2916</v>
      </c>
      <c r="G75" s="128">
        <f t="shared" si="9"/>
        <v>25.4</v>
      </c>
      <c r="H75" s="128"/>
      <c r="I75" s="128" t="str">
        <f t="shared" si="10"/>
        <v/>
      </c>
      <c r="J75" s="128"/>
      <c r="K75" s="128" t="str">
        <f t="shared" si="11"/>
        <v/>
      </c>
      <c r="L75" s="128"/>
      <c r="M75" s="128" t="str">
        <f t="shared" si="12"/>
        <v/>
      </c>
      <c r="N75" s="148"/>
      <c r="O75" s="128" t="str">
        <f t="shared" si="13"/>
        <v/>
      </c>
      <c r="P75" s="148"/>
      <c r="Q75" s="128" t="str">
        <f t="shared" si="14"/>
        <v/>
      </c>
      <c r="R75" s="148"/>
      <c r="S75" s="128" t="str">
        <f t="shared" si="15"/>
        <v/>
      </c>
      <c r="T75" s="47" t="str">
        <f t="shared" si="8"/>
        <v>OK!</v>
      </c>
    </row>
    <row r="76" spans="2:20" ht="16.5" x14ac:dyDescent="0.3">
      <c r="B76" s="129" t="s">
        <v>2647</v>
      </c>
      <c r="C76" s="128">
        <v>5.18</v>
      </c>
      <c r="D76" s="128">
        <v>10</v>
      </c>
      <c r="E76" s="128"/>
      <c r="F76" s="148" t="s">
        <v>2916</v>
      </c>
      <c r="G76" s="128">
        <f t="shared" si="9"/>
        <v>5.18</v>
      </c>
      <c r="H76" s="128"/>
      <c r="I76" s="128" t="str">
        <f t="shared" si="10"/>
        <v/>
      </c>
      <c r="J76" s="128"/>
      <c r="K76" s="128" t="str">
        <f t="shared" si="11"/>
        <v/>
      </c>
      <c r="L76" s="128"/>
      <c r="M76" s="128" t="str">
        <f t="shared" si="12"/>
        <v/>
      </c>
      <c r="N76" s="148"/>
      <c r="O76" s="128" t="str">
        <f t="shared" si="13"/>
        <v/>
      </c>
      <c r="P76" s="148"/>
      <c r="Q76" s="128" t="str">
        <f t="shared" si="14"/>
        <v/>
      </c>
      <c r="R76" s="148"/>
      <c r="S76" s="128" t="str">
        <f t="shared" si="15"/>
        <v/>
      </c>
      <c r="T76" s="47" t="str">
        <f t="shared" si="8"/>
        <v>OK!</v>
      </c>
    </row>
    <row r="77" spans="2:20" ht="16.5" x14ac:dyDescent="0.3">
      <c r="B77" s="129" t="s">
        <v>2648</v>
      </c>
      <c r="C77" s="128">
        <v>25.84</v>
      </c>
      <c r="D77" s="128">
        <v>21.32</v>
      </c>
      <c r="E77" s="128"/>
      <c r="F77" s="148" t="s">
        <v>2916</v>
      </c>
      <c r="G77" s="128">
        <f t="shared" si="9"/>
        <v>25.84</v>
      </c>
      <c r="H77" s="128"/>
      <c r="I77" s="128" t="str">
        <f t="shared" si="10"/>
        <v/>
      </c>
      <c r="J77" s="128"/>
      <c r="K77" s="128" t="str">
        <f t="shared" si="11"/>
        <v/>
      </c>
      <c r="L77" s="128"/>
      <c r="M77" s="128" t="str">
        <f t="shared" si="12"/>
        <v/>
      </c>
      <c r="N77" s="148"/>
      <c r="O77" s="128" t="str">
        <f t="shared" si="13"/>
        <v/>
      </c>
      <c r="P77" s="148"/>
      <c r="Q77" s="128" t="str">
        <f t="shared" si="14"/>
        <v/>
      </c>
      <c r="R77" s="148"/>
      <c r="S77" s="128" t="str">
        <f t="shared" si="15"/>
        <v/>
      </c>
      <c r="T77" s="47" t="str">
        <f t="shared" si="8"/>
        <v>OK!</v>
      </c>
    </row>
    <row r="78" spans="2:20" ht="16.5" x14ac:dyDescent="0.3">
      <c r="B78" s="129" t="s">
        <v>2649</v>
      </c>
      <c r="C78" s="128">
        <v>5.17</v>
      </c>
      <c r="D78" s="128">
        <v>9.99</v>
      </c>
      <c r="E78" s="128"/>
      <c r="F78" s="148" t="s">
        <v>2916</v>
      </c>
      <c r="G78" s="128">
        <f t="shared" si="9"/>
        <v>5.17</v>
      </c>
      <c r="H78" s="128"/>
      <c r="I78" s="128" t="str">
        <f t="shared" si="10"/>
        <v/>
      </c>
      <c r="J78" s="128"/>
      <c r="K78" s="128" t="str">
        <f t="shared" si="11"/>
        <v/>
      </c>
      <c r="L78" s="128"/>
      <c r="M78" s="128" t="str">
        <f t="shared" si="12"/>
        <v/>
      </c>
      <c r="N78" s="148"/>
      <c r="O78" s="128" t="str">
        <f t="shared" si="13"/>
        <v/>
      </c>
      <c r="P78" s="148"/>
      <c r="Q78" s="128" t="str">
        <f t="shared" si="14"/>
        <v/>
      </c>
      <c r="R78" s="148"/>
      <c r="S78" s="128" t="str">
        <f t="shared" si="15"/>
        <v/>
      </c>
      <c r="T78" s="47" t="str">
        <f t="shared" si="8"/>
        <v>OK!</v>
      </c>
    </row>
    <row r="79" spans="2:20" ht="16.5" x14ac:dyDescent="0.3">
      <c r="B79" s="129" t="s">
        <v>2650</v>
      </c>
      <c r="C79" s="128">
        <v>61.5</v>
      </c>
      <c r="D79" s="128">
        <v>60.31</v>
      </c>
      <c r="E79" s="128"/>
      <c r="F79" s="148" t="s">
        <v>2916</v>
      </c>
      <c r="G79" s="128">
        <f t="shared" si="9"/>
        <v>61.5</v>
      </c>
      <c r="H79" s="128"/>
      <c r="I79" s="128" t="str">
        <f t="shared" si="10"/>
        <v/>
      </c>
      <c r="J79" s="128"/>
      <c r="K79" s="128" t="str">
        <f t="shared" si="11"/>
        <v/>
      </c>
      <c r="L79" s="128"/>
      <c r="M79" s="128" t="str">
        <f t="shared" si="12"/>
        <v/>
      </c>
      <c r="N79" s="148"/>
      <c r="O79" s="128" t="str">
        <f t="shared" si="13"/>
        <v/>
      </c>
      <c r="P79" s="148"/>
      <c r="Q79" s="128" t="str">
        <f t="shared" si="14"/>
        <v/>
      </c>
      <c r="R79" s="148"/>
      <c r="S79" s="128" t="str">
        <f t="shared" si="15"/>
        <v/>
      </c>
      <c r="T79" s="47" t="str">
        <f t="shared" si="8"/>
        <v>OK!</v>
      </c>
    </row>
    <row r="80" spans="2:20" ht="16.5" x14ac:dyDescent="0.3">
      <c r="B80" s="129" t="s">
        <v>2651</v>
      </c>
      <c r="C80" s="128">
        <v>27.4</v>
      </c>
      <c r="D80" s="128">
        <v>21.75</v>
      </c>
      <c r="E80" s="128"/>
      <c r="F80" s="148" t="s">
        <v>2916</v>
      </c>
      <c r="G80" s="128">
        <f t="shared" si="9"/>
        <v>27.4</v>
      </c>
      <c r="H80" s="128"/>
      <c r="I80" s="128" t="str">
        <f t="shared" si="10"/>
        <v/>
      </c>
      <c r="J80" s="128"/>
      <c r="K80" s="128" t="str">
        <f t="shared" si="11"/>
        <v/>
      </c>
      <c r="L80" s="128"/>
      <c r="M80" s="128" t="str">
        <f t="shared" si="12"/>
        <v/>
      </c>
      <c r="N80" s="148"/>
      <c r="O80" s="128" t="str">
        <f t="shared" si="13"/>
        <v/>
      </c>
      <c r="P80" s="148"/>
      <c r="Q80" s="128" t="str">
        <f t="shared" si="14"/>
        <v/>
      </c>
      <c r="R80" s="148"/>
      <c r="S80" s="128" t="str">
        <f t="shared" si="15"/>
        <v/>
      </c>
      <c r="T80" s="47" t="str">
        <f t="shared" si="8"/>
        <v>OK!</v>
      </c>
    </row>
    <row r="81" spans="2:20" ht="16.5" x14ac:dyDescent="0.3">
      <c r="B81" s="129" t="s">
        <v>2652</v>
      </c>
      <c r="C81" s="128">
        <v>5.14</v>
      </c>
      <c r="D81" s="128">
        <v>9.9700000000000006</v>
      </c>
      <c r="E81" s="128"/>
      <c r="F81" s="148" t="s">
        <v>2916</v>
      </c>
      <c r="G81" s="128">
        <f t="shared" si="9"/>
        <v>5.14</v>
      </c>
      <c r="H81" s="128"/>
      <c r="I81" s="128" t="str">
        <f t="shared" si="10"/>
        <v/>
      </c>
      <c r="J81" s="128"/>
      <c r="K81" s="128" t="str">
        <f t="shared" si="11"/>
        <v/>
      </c>
      <c r="L81" s="128"/>
      <c r="M81" s="128" t="str">
        <f t="shared" si="12"/>
        <v/>
      </c>
      <c r="N81" s="148"/>
      <c r="O81" s="128" t="str">
        <f t="shared" si="13"/>
        <v/>
      </c>
      <c r="P81" s="148"/>
      <c r="Q81" s="128" t="str">
        <f t="shared" si="14"/>
        <v/>
      </c>
      <c r="R81" s="148"/>
      <c r="S81" s="128" t="str">
        <f t="shared" si="15"/>
        <v/>
      </c>
      <c r="T81" s="47" t="str">
        <f t="shared" si="8"/>
        <v>OK!</v>
      </c>
    </row>
    <row r="82" spans="2:20" ht="16.5" x14ac:dyDescent="0.3">
      <c r="B82" s="129" t="s">
        <v>2653</v>
      </c>
      <c r="C82" s="128">
        <v>5.74</v>
      </c>
      <c r="D82" s="128">
        <v>10.61</v>
      </c>
      <c r="E82" s="128"/>
      <c r="F82" s="148" t="s">
        <v>2916</v>
      </c>
      <c r="G82" s="128">
        <f t="shared" si="9"/>
        <v>5.74</v>
      </c>
      <c r="H82" s="128"/>
      <c r="I82" s="128" t="str">
        <f t="shared" si="10"/>
        <v/>
      </c>
      <c r="J82" s="128"/>
      <c r="K82" s="128" t="str">
        <f t="shared" si="11"/>
        <v/>
      </c>
      <c r="L82" s="128"/>
      <c r="M82" s="128" t="str">
        <f t="shared" si="12"/>
        <v/>
      </c>
      <c r="N82" s="148"/>
      <c r="O82" s="128" t="str">
        <f t="shared" si="13"/>
        <v/>
      </c>
      <c r="P82" s="148"/>
      <c r="Q82" s="128" t="str">
        <f t="shared" si="14"/>
        <v/>
      </c>
      <c r="R82" s="148"/>
      <c r="S82" s="128" t="str">
        <f t="shared" si="15"/>
        <v/>
      </c>
      <c r="T82" s="47" t="str">
        <f t="shared" si="8"/>
        <v>OK!</v>
      </c>
    </row>
    <row r="83" spans="2:20" ht="16.5" x14ac:dyDescent="0.3">
      <c r="B83" s="129" t="s">
        <v>2654</v>
      </c>
      <c r="C83" s="128">
        <v>10.68</v>
      </c>
      <c r="D83" s="128">
        <v>14.12</v>
      </c>
      <c r="E83" s="128"/>
      <c r="F83" s="148" t="s">
        <v>2916</v>
      </c>
      <c r="G83" s="128">
        <f t="shared" si="9"/>
        <v>10.68</v>
      </c>
      <c r="H83" s="128"/>
      <c r="I83" s="128" t="str">
        <f t="shared" si="10"/>
        <v/>
      </c>
      <c r="J83" s="128"/>
      <c r="K83" s="128" t="str">
        <f t="shared" si="11"/>
        <v/>
      </c>
      <c r="L83" s="128"/>
      <c r="M83" s="128" t="str">
        <f t="shared" si="12"/>
        <v/>
      </c>
      <c r="N83" s="148"/>
      <c r="O83" s="128" t="str">
        <f t="shared" si="13"/>
        <v/>
      </c>
      <c r="P83" s="148"/>
      <c r="Q83" s="128" t="str">
        <f t="shared" si="14"/>
        <v/>
      </c>
      <c r="R83" s="148"/>
      <c r="S83" s="128" t="str">
        <f t="shared" si="15"/>
        <v/>
      </c>
      <c r="T83" s="47" t="str">
        <f t="shared" si="8"/>
        <v>OK!</v>
      </c>
    </row>
    <row r="84" spans="2:20" ht="16.5" x14ac:dyDescent="0.3">
      <c r="B84" s="129" t="s">
        <v>2655</v>
      </c>
      <c r="C84" s="128">
        <v>7.23</v>
      </c>
      <c r="D84" s="128">
        <v>10.91</v>
      </c>
      <c r="E84" s="128"/>
      <c r="F84" s="148" t="s">
        <v>2916</v>
      </c>
      <c r="G84" s="128">
        <f t="shared" si="9"/>
        <v>7.23</v>
      </c>
      <c r="H84" s="128"/>
      <c r="I84" s="128" t="str">
        <f t="shared" si="10"/>
        <v/>
      </c>
      <c r="J84" s="128"/>
      <c r="K84" s="128" t="str">
        <f t="shared" si="11"/>
        <v/>
      </c>
      <c r="L84" s="128"/>
      <c r="M84" s="128" t="str">
        <f t="shared" si="12"/>
        <v/>
      </c>
      <c r="N84" s="148"/>
      <c r="O84" s="128" t="str">
        <f t="shared" si="13"/>
        <v/>
      </c>
      <c r="P84" s="148"/>
      <c r="Q84" s="128" t="str">
        <f t="shared" si="14"/>
        <v/>
      </c>
      <c r="R84" s="148"/>
      <c r="S84" s="128" t="str">
        <f t="shared" si="15"/>
        <v/>
      </c>
      <c r="T84" s="47" t="str">
        <f t="shared" si="8"/>
        <v>OK!</v>
      </c>
    </row>
    <row r="85" spans="2:20" ht="16.5" x14ac:dyDescent="0.3">
      <c r="B85" s="129" t="s">
        <v>2607</v>
      </c>
      <c r="C85" s="128">
        <v>7.28</v>
      </c>
      <c r="D85" s="128">
        <v>10.91</v>
      </c>
      <c r="E85" s="128"/>
      <c r="F85" s="148" t="s">
        <v>2916</v>
      </c>
      <c r="G85" s="128">
        <f t="shared" si="9"/>
        <v>7.28</v>
      </c>
      <c r="H85" s="128"/>
      <c r="I85" s="128" t="str">
        <f t="shared" si="10"/>
        <v/>
      </c>
      <c r="J85" s="128"/>
      <c r="K85" s="128" t="str">
        <f t="shared" si="11"/>
        <v/>
      </c>
      <c r="L85" s="128"/>
      <c r="M85" s="128" t="str">
        <f t="shared" si="12"/>
        <v/>
      </c>
      <c r="N85" s="148"/>
      <c r="O85" s="128" t="str">
        <f t="shared" si="13"/>
        <v/>
      </c>
      <c r="P85" s="148"/>
      <c r="Q85" s="128" t="str">
        <f t="shared" si="14"/>
        <v/>
      </c>
      <c r="R85" s="148"/>
      <c r="S85" s="128" t="str">
        <f t="shared" si="15"/>
        <v/>
      </c>
      <c r="T85" s="47" t="str">
        <f t="shared" si="8"/>
        <v>OK!</v>
      </c>
    </row>
    <row r="86" spans="2:20" ht="16.5" x14ac:dyDescent="0.3">
      <c r="B86" s="129" t="s">
        <v>2656</v>
      </c>
      <c r="C86" s="128">
        <v>12.21</v>
      </c>
      <c r="D86" s="128">
        <v>14.03</v>
      </c>
      <c r="E86" s="128"/>
      <c r="F86" s="148" t="s">
        <v>2916</v>
      </c>
      <c r="G86" s="128">
        <f t="shared" si="9"/>
        <v>12.21</v>
      </c>
      <c r="H86" s="128"/>
      <c r="I86" s="128" t="str">
        <f t="shared" si="10"/>
        <v/>
      </c>
      <c r="J86" s="128"/>
      <c r="K86" s="128" t="str">
        <f t="shared" si="11"/>
        <v/>
      </c>
      <c r="L86" s="128"/>
      <c r="M86" s="128" t="str">
        <f t="shared" si="12"/>
        <v/>
      </c>
      <c r="N86" s="148"/>
      <c r="O86" s="128" t="str">
        <f t="shared" si="13"/>
        <v/>
      </c>
      <c r="P86" s="148"/>
      <c r="Q86" s="128" t="str">
        <f t="shared" si="14"/>
        <v/>
      </c>
      <c r="R86" s="148"/>
      <c r="S86" s="128" t="str">
        <f t="shared" si="15"/>
        <v/>
      </c>
      <c r="T86" s="47" t="str">
        <f t="shared" si="8"/>
        <v>OK!</v>
      </c>
    </row>
    <row r="87" spans="2:20" ht="16.5" x14ac:dyDescent="0.3">
      <c r="B87" s="129" t="s">
        <v>2657</v>
      </c>
      <c r="C87" s="128">
        <v>25.32</v>
      </c>
      <c r="D87" s="128">
        <v>21.07</v>
      </c>
      <c r="E87" s="128"/>
      <c r="F87" s="148" t="s">
        <v>2916</v>
      </c>
      <c r="G87" s="128">
        <f t="shared" si="9"/>
        <v>25.32</v>
      </c>
      <c r="H87" s="128"/>
      <c r="I87" s="128" t="str">
        <f t="shared" si="10"/>
        <v/>
      </c>
      <c r="J87" s="128"/>
      <c r="K87" s="128" t="str">
        <f t="shared" si="11"/>
        <v/>
      </c>
      <c r="L87" s="128"/>
      <c r="M87" s="128" t="str">
        <f t="shared" si="12"/>
        <v/>
      </c>
      <c r="N87" s="148"/>
      <c r="O87" s="128" t="str">
        <f t="shared" si="13"/>
        <v/>
      </c>
      <c r="P87" s="148"/>
      <c r="Q87" s="128" t="str">
        <f t="shared" si="14"/>
        <v/>
      </c>
      <c r="R87" s="148"/>
      <c r="S87" s="128" t="str">
        <f t="shared" si="15"/>
        <v/>
      </c>
      <c r="T87" s="47" t="str">
        <f t="shared" si="8"/>
        <v>OK!</v>
      </c>
    </row>
    <row r="88" spans="2:20" ht="16.5" x14ac:dyDescent="0.3">
      <c r="B88" s="129" t="s">
        <v>2658</v>
      </c>
      <c r="C88" s="128">
        <v>5.15</v>
      </c>
      <c r="D88" s="128">
        <v>9.99</v>
      </c>
      <c r="E88" s="128"/>
      <c r="F88" s="148" t="s">
        <v>2916</v>
      </c>
      <c r="G88" s="128">
        <f t="shared" si="9"/>
        <v>5.15</v>
      </c>
      <c r="H88" s="128"/>
      <c r="I88" s="128" t="str">
        <f t="shared" si="10"/>
        <v/>
      </c>
      <c r="J88" s="128"/>
      <c r="K88" s="128" t="str">
        <f t="shared" si="11"/>
        <v/>
      </c>
      <c r="L88" s="128"/>
      <c r="M88" s="128" t="str">
        <f t="shared" si="12"/>
        <v/>
      </c>
      <c r="N88" s="148"/>
      <c r="O88" s="128" t="str">
        <f t="shared" si="13"/>
        <v/>
      </c>
      <c r="P88" s="148"/>
      <c r="Q88" s="128" t="str">
        <f t="shared" si="14"/>
        <v/>
      </c>
      <c r="R88" s="148"/>
      <c r="S88" s="128" t="str">
        <f t="shared" si="15"/>
        <v/>
      </c>
      <c r="T88" s="47" t="str">
        <f t="shared" si="8"/>
        <v>OK!</v>
      </c>
    </row>
    <row r="89" spans="2:20" ht="16.5" x14ac:dyDescent="0.3">
      <c r="B89" s="129" t="s">
        <v>2659</v>
      </c>
      <c r="C89" s="128">
        <v>12.84</v>
      </c>
      <c r="D89" s="128">
        <v>17.41</v>
      </c>
      <c r="E89" s="128"/>
      <c r="F89" s="148" t="s">
        <v>2916</v>
      </c>
      <c r="G89" s="128">
        <f t="shared" si="9"/>
        <v>12.84</v>
      </c>
      <c r="H89" s="128"/>
      <c r="I89" s="128" t="str">
        <f t="shared" si="10"/>
        <v/>
      </c>
      <c r="J89" s="128"/>
      <c r="K89" s="128" t="str">
        <f t="shared" si="11"/>
        <v/>
      </c>
      <c r="L89" s="128"/>
      <c r="M89" s="128" t="str">
        <f t="shared" si="12"/>
        <v/>
      </c>
      <c r="N89" s="148"/>
      <c r="O89" s="128" t="str">
        <f t="shared" si="13"/>
        <v/>
      </c>
      <c r="P89" s="148"/>
      <c r="Q89" s="128" t="str">
        <f t="shared" si="14"/>
        <v/>
      </c>
      <c r="R89" s="148"/>
      <c r="S89" s="128" t="str">
        <f t="shared" si="15"/>
        <v/>
      </c>
      <c r="T89" s="47" t="str">
        <f t="shared" si="8"/>
        <v>OK!</v>
      </c>
    </row>
    <row r="90" spans="2:20" ht="16.5" x14ac:dyDescent="0.3">
      <c r="B90" s="129" t="s">
        <v>2660</v>
      </c>
      <c r="C90" s="128">
        <v>2.52</v>
      </c>
      <c r="D90" s="128">
        <v>6.37</v>
      </c>
      <c r="E90" s="128"/>
      <c r="F90" s="148" t="s">
        <v>2916</v>
      </c>
      <c r="G90" s="128">
        <f t="shared" si="9"/>
        <v>2.52</v>
      </c>
      <c r="H90" s="128"/>
      <c r="I90" s="128" t="str">
        <f t="shared" si="10"/>
        <v/>
      </c>
      <c r="J90" s="128"/>
      <c r="K90" s="128" t="str">
        <f t="shared" si="11"/>
        <v/>
      </c>
      <c r="L90" s="128"/>
      <c r="M90" s="128" t="str">
        <f t="shared" si="12"/>
        <v/>
      </c>
      <c r="N90" s="148"/>
      <c r="O90" s="128" t="str">
        <f t="shared" si="13"/>
        <v/>
      </c>
      <c r="P90" s="148"/>
      <c r="Q90" s="128" t="str">
        <f t="shared" si="14"/>
        <v/>
      </c>
      <c r="R90" s="148"/>
      <c r="S90" s="128" t="str">
        <f t="shared" si="15"/>
        <v/>
      </c>
      <c r="T90" s="47" t="str">
        <f t="shared" si="8"/>
        <v>OK!</v>
      </c>
    </row>
    <row r="91" spans="2:20" ht="16.5" x14ac:dyDescent="0.3">
      <c r="B91" s="129" t="s">
        <v>2661</v>
      </c>
      <c r="C91" s="128">
        <v>2.12</v>
      </c>
      <c r="D91" s="128">
        <v>6.37</v>
      </c>
      <c r="E91" s="128"/>
      <c r="F91" s="148" t="s">
        <v>2916</v>
      </c>
      <c r="G91" s="128">
        <f t="shared" si="9"/>
        <v>2.12</v>
      </c>
      <c r="H91" s="128"/>
      <c r="I91" s="128" t="str">
        <f t="shared" si="10"/>
        <v/>
      </c>
      <c r="J91" s="128"/>
      <c r="K91" s="128" t="str">
        <f t="shared" si="11"/>
        <v/>
      </c>
      <c r="L91" s="128"/>
      <c r="M91" s="128" t="str">
        <f t="shared" si="12"/>
        <v/>
      </c>
      <c r="N91" s="148"/>
      <c r="O91" s="128" t="str">
        <f t="shared" si="13"/>
        <v/>
      </c>
      <c r="P91" s="148"/>
      <c r="Q91" s="128" t="str">
        <f t="shared" si="14"/>
        <v/>
      </c>
      <c r="R91" s="148"/>
      <c r="S91" s="128" t="str">
        <f t="shared" si="15"/>
        <v/>
      </c>
      <c r="T91" s="47" t="str">
        <f t="shared" si="8"/>
        <v>OK!</v>
      </c>
    </row>
    <row r="92" spans="2:20" ht="16.5" x14ac:dyDescent="0.3">
      <c r="B92" s="129" t="s">
        <v>2662</v>
      </c>
      <c r="C92" s="128">
        <v>6.7</v>
      </c>
      <c r="D92" s="128">
        <v>10.47</v>
      </c>
      <c r="E92" s="128"/>
      <c r="F92" s="148" t="s">
        <v>2916</v>
      </c>
      <c r="G92" s="128">
        <f t="shared" si="9"/>
        <v>6.7</v>
      </c>
      <c r="H92" s="128"/>
      <c r="I92" s="128" t="str">
        <f t="shared" si="10"/>
        <v/>
      </c>
      <c r="J92" s="128"/>
      <c r="K92" s="128" t="str">
        <f t="shared" si="11"/>
        <v/>
      </c>
      <c r="L92" s="128"/>
      <c r="M92" s="128" t="str">
        <f t="shared" si="12"/>
        <v/>
      </c>
      <c r="N92" s="148"/>
      <c r="O92" s="128" t="str">
        <f t="shared" si="13"/>
        <v/>
      </c>
      <c r="P92" s="148"/>
      <c r="Q92" s="128" t="str">
        <f t="shared" si="14"/>
        <v/>
      </c>
      <c r="R92" s="148"/>
      <c r="S92" s="128" t="str">
        <f t="shared" si="15"/>
        <v/>
      </c>
      <c r="T92" s="47" t="str">
        <f t="shared" si="8"/>
        <v>OK!</v>
      </c>
    </row>
    <row r="93" spans="2:20" ht="16.5" x14ac:dyDescent="0.3">
      <c r="B93" s="129" t="s">
        <v>2663</v>
      </c>
      <c r="C93" s="128">
        <v>6.65</v>
      </c>
      <c r="D93" s="128">
        <v>10.47</v>
      </c>
      <c r="E93" s="128"/>
      <c r="F93" s="148" t="s">
        <v>2916</v>
      </c>
      <c r="G93" s="128">
        <f t="shared" si="9"/>
        <v>6.65</v>
      </c>
      <c r="H93" s="128"/>
      <c r="I93" s="128" t="str">
        <f t="shared" si="10"/>
        <v/>
      </c>
      <c r="J93" s="128"/>
      <c r="K93" s="128" t="str">
        <f t="shared" si="11"/>
        <v/>
      </c>
      <c r="L93" s="128"/>
      <c r="M93" s="128" t="str">
        <f t="shared" si="12"/>
        <v/>
      </c>
      <c r="N93" s="148"/>
      <c r="O93" s="128" t="str">
        <f t="shared" si="13"/>
        <v/>
      </c>
      <c r="P93" s="148"/>
      <c r="Q93" s="128" t="str">
        <f t="shared" si="14"/>
        <v/>
      </c>
      <c r="R93" s="148"/>
      <c r="S93" s="128" t="str">
        <f t="shared" si="15"/>
        <v/>
      </c>
      <c r="T93" s="47" t="str">
        <f t="shared" si="8"/>
        <v>OK!</v>
      </c>
    </row>
    <row r="94" spans="2:20" ht="16.5" x14ac:dyDescent="0.3">
      <c r="B94" s="129" t="s">
        <v>2664</v>
      </c>
      <c r="C94" s="128">
        <v>14.28</v>
      </c>
      <c r="D94" s="128">
        <v>15.43</v>
      </c>
      <c r="E94" s="128"/>
      <c r="F94" s="148" t="s">
        <v>2916</v>
      </c>
      <c r="G94" s="128">
        <f t="shared" si="9"/>
        <v>14.28</v>
      </c>
      <c r="H94" s="128"/>
      <c r="I94" s="128" t="str">
        <f t="shared" si="10"/>
        <v/>
      </c>
      <c r="J94" s="128"/>
      <c r="K94" s="128" t="str">
        <f t="shared" si="11"/>
        <v/>
      </c>
      <c r="L94" s="128"/>
      <c r="M94" s="128" t="str">
        <f t="shared" si="12"/>
        <v/>
      </c>
      <c r="N94" s="148"/>
      <c r="O94" s="128" t="str">
        <f t="shared" si="13"/>
        <v/>
      </c>
      <c r="P94" s="148"/>
      <c r="Q94" s="128" t="str">
        <f t="shared" si="14"/>
        <v/>
      </c>
      <c r="R94" s="148"/>
      <c r="S94" s="128" t="str">
        <f t="shared" si="15"/>
        <v/>
      </c>
      <c r="T94" s="47" t="str">
        <f t="shared" si="8"/>
        <v>OK!</v>
      </c>
    </row>
    <row r="95" spans="2:20" ht="16.5" x14ac:dyDescent="0.3">
      <c r="B95" s="129" t="s">
        <v>2665</v>
      </c>
      <c r="C95" s="128">
        <v>3.15</v>
      </c>
      <c r="D95" s="128">
        <v>7.1</v>
      </c>
      <c r="E95" s="128"/>
      <c r="F95" s="148" t="s">
        <v>2916</v>
      </c>
      <c r="G95" s="128">
        <f t="shared" si="9"/>
        <v>3.15</v>
      </c>
      <c r="H95" s="128"/>
      <c r="I95" s="128" t="str">
        <f t="shared" si="10"/>
        <v/>
      </c>
      <c r="J95" s="128"/>
      <c r="K95" s="128" t="str">
        <f t="shared" si="11"/>
        <v/>
      </c>
      <c r="L95" s="128"/>
      <c r="M95" s="128" t="str">
        <f t="shared" si="12"/>
        <v/>
      </c>
      <c r="N95" s="148"/>
      <c r="O95" s="128" t="str">
        <f t="shared" si="13"/>
        <v/>
      </c>
      <c r="P95" s="148"/>
      <c r="Q95" s="128" t="str">
        <f t="shared" si="14"/>
        <v/>
      </c>
      <c r="R95" s="148"/>
      <c r="S95" s="128" t="str">
        <f t="shared" si="15"/>
        <v/>
      </c>
      <c r="T95" s="47" t="str">
        <f t="shared" si="8"/>
        <v>OK!</v>
      </c>
    </row>
    <row r="96" spans="2:20" ht="16.5" x14ac:dyDescent="0.3">
      <c r="B96" s="129" t="s">
        <v>2666</v>
      </c>
      <c r="C96" s="128">
        <v>4.1100000000000003</v>
      </c>
      <c r="D96" s="128">
        <v>8.7100000000000009</v>
      </c>
      <c r="E96" s="128"/>
      <c r="F96" s="148" t="s">
        <v>2916</v>
      </c>
      <c r="G96" s="128">
        <f t="shared" si="9"/>
        <v>4.1100000000000003</v>
      </c>
      <c r="H96" s="128"/>
      <c r="I96" s="128" t="str">
        <f t="shared" si="10"/>
        <v/>
      </c>
      <c r="J96" s="128"/>
      <c r="K96" s="128" t="str">
        <f t="shared" si="11"/>
        <v/>
      </c>
      <c r="L96" s="128"/>
      <c r="M96" s="128" t="str">
        <f t="shared" si="12"/>
        <v/>
      </c>
      <c r="N96" s="148"/>
      <c r="O96" s="128" t="str">
        <f t="shared" si="13"/>
        <v/>
      </c>
      <c r="P96" s="148"/>
      <c r="Q96" s="128" t="str">
        <f t="shared" si="14"/>
        <v/>
      </c>
      <c r="R96" s="148"/>
      <c r="S96" s="128" t="str">
        <f t="shared" si="15"/>
        <v/>
      </c>
      <c r="T96" s="47" t="str">
        <f t="shared" si="8"/>
        <v>OK!</v>
      </c>
    </row>
    <row r="97" spans="2:20" ht="16.5" x14ac:dyDescent="0.3">
      <c r="B97" s="129" t="s">
        <v>2667</v>
      </c>
      <c r="C97" s="128">
        <v>27.96</v>
      </c>
      <c r="D97" s="128">
        <v>22</v>
      </c>
      <c r="E97" s="128"/>
      <c r="F97" s="148" t="s">
        <v>2916</v>
      </c>
      <c r="G97" s="128">
        <f t="shared" si="9"/>
        <v>27.96</v>
      </c>
      <c r="H97" s="128"/>
      <c r="I97" s="128" t="str">
        <f t="shared" si="10"/>
        <v/>
      </c>
      <c r="J97" s="128"/>
      <c r="K97" s="128" t="str">
        <f t="shared" si="11"/>
        <v/>
      </c>
      <c r="L97" s="128"/>
      <c r="M97" s="128" t="str">
        <f t="shared" si="12"/>
        <v/>
      </c>
      <c r="N97" s="148"/>
      <c r="O97" s="128" t="str">
        <f t="shared" si="13"/>
        <v/>
      </c>
      <c r="P97" s="148"/>
      <c r="Q97" s="128" t="str">
        <f t="shared" si="14"/>
        <v/>
      </c>
      <c r="R97" s="148"/>
      <c r="S97" s="128" t="str">
        <f t="shared" si="15"/>
        <v/>
      </c>
      <c r="T97" s="47" t="str">
        <f t="shared" si="8"/>
        <v>OK!</v>
      </c>
    </row>
    <row r="98" spans="2:20" ht="16.5" x14ac:dyDescent="0.3">
      <c r="B98" s="129" t="s">
        <v>2668</v>
      </c>
      <c r="C98" s="128">
        <v>5.12</v>
      </c>
      <c r="D98" s="128">
        <v>9.9600000000000009</v>
      </c>
      <c r="E98" s="128"/>
      <c r="F98" s="148" t="s">
        <v>2916</v>
      </c>
      <c r="G98" s="128">
        <f t="shared" si="9"/>
        <v>5.12</v>
      </c>
      <c r="H98" s="128"/>
      <c r="I98" s="128" t="str">
        <f t="shared" si="10"/>
        <v/>
      </c>
      <c r="J98" s="128"/>
      <c r="K98" s="128" t="str">
        <f t="shared" si="11"/>
        <v/>
      </c>
      <c r="L98" s="128"/>
      <c r="M98" s="128" t="str">
        <f t="shared" si="12"/>
        <v/>
      </c>
      <c r="N98" s="148"/>
      <c r="O98" s="128" t="str">
        <f t="shared" si="13"/>
        <v/>
      </c>
      <c r="P98" s="148"/>
      <c r="Q98" s="128" t="str">
        <f t="shared" si="14"/>
        <v/>
      </c>
      <c r="R98" s="148"/>
      <c r="S98" s="128" t="str">
        <f t="shared" si="15"/>
        <v/>
      </c>
      <c r="T98" s="47" t="str">
        <f t="shared" si="8"/>
        <v>OK!</v>
      </c>
    </row>
    <row r="99" spans="2:20" ht="16.5" x14ac:dyDescent="0.3">
      <c r="B99" s="129" t="s">
        <v>2591</v>
      </c>
      <c r="C99" s="128">
        <v>2.99</v>
      </c>
      <c r="D99" s="128">
        <v>6.93</v>
      </c>
      <c r="E99" s="128"/>
      <c r="F99" s="148" t="s">
        <v>2916</v>
      </c>
      <c r="G99" s="128">
        <f t="shared" si="9"/>
        <v>2.99</v>
      </c>
      <c r="H99" s="128"/>
      <c r="I99" s="128" t="str">
        <f t="shared" si="10"/>
        <v/>
      </c>
      <c r="J99" s="128"/>
      <c r="K99" s="128" t="str">
        <f t="shared" si="11"/>
        <v/>
      </c>
      <c r="L99" s="128"/>
      <c r="M99" s="128" t="str">
        <f t="shared" si="12"/>
        <v/>
      </c>
      <c r="N99" s="148"/>
      <c r="O99" s="128" t="str">
        <f t="shared" si="13"/>
        <v/>
      </c>
      <c r="P99" s="148"/>
      <c r="Q99" s="128" t="str">
        <f t="shared" si="14"/>
        <v/>
      </c>
      <c r="R99" s="148"/>
      <c r="S99" s="128" t="str">
        <f t="shared" si="15"/>
        <v/>
      </c>
      <c r="T99" s="47" t="str">
        <f t="shared" si="8"/>
        <v>OK!</v>
      </c>
    </row>
    <row r="100" spans="2:20" ht="16.5" x14ac:dyDescent="0.3">
      <c r="B100" s="129" t="s">
        <v>2666</v>
      </c>
      <c r="C100" s="128">
        <v>4.3099999999999996</v>
      </c>
      <c r="D100" s="128">
        <v>8.59</v>
      </c>
      <c r="E100" s="128"/>
      <c r="F100" s="148" t="s">
        <v>2916</v>
      </c>
      <c r="G100" s="128">
        <f t="shared" si="9"/>
        <v>4.3099999999999996</v>
      </c>
      <c r="H100" s="128"/>
      <c r="I100" s="128" t="str">
        <f t="shared" si="10"/>
        <v/>
      </c>
      <c r="J100" s="128"/>
      <c r="K100" s="128" t="str">
        <f t="shared" si="11"/>
        <v/>
      </c>
      <c r="L100" s="128"/>
      <c r="M100" s="128" t="str">
        <f t="shared" si="12"/>
        <v/>
      </c>
      <c r="N100" s="148"/>
      <c r="O100" s="128" t="str">
        <f t="shared" si="13"/>
        <v/>
      </c>
      <c r="P100" s="148"/>
      <c r="Q100" s="128" t="str">
        <f t="shared" si="14"/>
        <v/>
      </c>
      <c r="R100" s="148"/>
      <c r="S100" s="128" t="str">
        <f t="shared" si="15"/>
        <v/>
      </c>
      <c r="T100" s="47" t="str">
        <f t="shared" si="8"/>
        <v>OK!</v>
      </c>
    </row>
    <row r="101" spans="2:20" ht="16.5" x14ac:dyDescent="0.3">
      <c r="B101" s="129" t="s">
        <v>2664</v>
      </c>
      <c r="C101" s="128">
        <v>13.16</v>
      </c>
      <c r="D101" s="128">
        <v>14.93</v>
      </c>
      <c r="E101" s="128"/>
      <c r="F101" s="148" t="s">
        <v>2916</v>
      </c>
      <c r="G101" s="128">
        <f t="shared" si="9"/>
        <v>13.16</v>
      </c>
      <c r="H101" s="128"/>
      <c r="I101" s="128" t="str">
        <f t="shared" si="10"/>
        <v/>
      </c>
      <c r="J101" s="128"/>
      <c r="K101" s="128" t="str">
        <f t="shared" si="11"/>
        <v/>
      </c>
      <c r="L101" s="128"/>
      <c r="M101" s="128" t="str">
        <f t="shared" si="12"/>
        <v/>
      </c>
      <c r="N101" s="148"/>
      <c r="O101" s="128" t="str">
        <f t="shared" si="13"/>
        <v/>
      </c>
      <c r="P101" s="148"/>
      <c r="Q101" s="128" t="str">
        <f t="shared" si="14"/>
        <v/>
      </c>
      <c r="R101" s="148"/>
      <c r="S101" s="128" t="str">
        <f t="shared" si="15"/>
        <v/>
      </c>
      <c r="T101" s="47" t="str">
        <f t="shared" si="8"/>
        <v>OK!</v>
      </c>
    </row>
    <row r="102" spans="2:20" ht="16.5" x14ac:dyDescent="0.3">
      <c r="B102" s="129" t="s">
        <v>2669</v>
      </c>
      <c r="C102" s="128">
        <v>6.85</v>
      </c>
      <c r="D102" s="128">
        <v>11.95</v>
      </c>
      <c r="E102" s="128"/>
      <c r="F102" s="148" t="s">
        <v>2916</v>
      </c>
      <c r="G102" s="128">
        <f t="shared" si="9"/>
        <v>6.85</v>
      </c>
      <c r="H102" s="128"/>
      <c r="I102" s="128" t="str">
        <f t="shared" si="10"/>
        <v/>
      </c>
      <c r="J102" s="128"/>
      <c r="K102" s="128" t="str">
        <f t="shared" si="11"/>
        <v/>
      </c>
      <c r="L102" s="128"/>
      <c r="M102" s="128" t="str">
        <f t="shared" si="12"/>
        <v/>
      </c>
      <c r="N102" s="148"/>
      <c r="O102" s="128" t="str">
        <f t="shared" si="13"/>
        <v/>
      </c>
      <c r="P102" s="148"/>
      <c r="Q102" s="128" t="str">
        <f t="shared" si="14"/>
        <v/>
      </c>
      <c r="R102" s="148"/>
      <c r="S102" s="128" t="str">
        <f t="shared" si="15"/>
        <v/>
      </c>
      <c r="T102" s="47" t="str">
        <f t="shared" si="8"/>
        <v>OK!</v>
      </c>
    </row>
    <row r="103" spans="2:20" ht="16.5" x14ac:dyDescent="0.3">
      <c r="B103" s="129" t="s">
        <v>2670</v>
      </c>
      <c r="C103" s="128">
        <v>10.24</v>
      </c>
      <c r="D103" s="128">
        <v>17.75</v>
      </c>
      <c r="E103" s="128"/>
      <c r="F103" s="148"/>
      <c r="G103" s="128" t="str">
        <f t="shared" si="9"/>
        <v/>
      </c>
      <c r="H103" s="128"/>
      <c r="I103" s="128" t="str">
        <f t="shared" si="10"/>
        <v/>
      </c>
      <c r="J103" s="128"/>
      <c r="K103" s="128" t="str">
        <f t="shared" si="11"/>
        <v/>
      </c>
      <c r="L103" s="128" t="s">
        <v>2916</v>
      </c>
      <c r="M103" s="128">
        <f t="shared" si="12"/>
        <v>10.24</v>
      </c>
      <c r="N103" s="148"/>
      <c r="O103" s="128" t="str">
        <f t="shared" si="13"/>
        <v/>
      </c>
      <c r="P103" s="148"/>
      <c r="Q103" s="128" t="str">
        <f t="shared" si="14"/>
        <v/>
      </c>
      <c r="R103" s="148"/>
      <c r="S103" s="128" t="str">
        <f t="shared" si="15"/>
        <v/>
      </c>
      <c r="T103" s="47" t="str">
        <f t="shared" si="8"/>
        <v>OK!</v>
      </c>
    </row>
    <row r="104" spans="2:20" ht="16.5" x14ac:dyDescent="0.3">
      <c r="B104" s="129" t="s">
        <v>2671</v>
      </c>
      <c r="C104" s="128">
        <v>30.01</v>
      </c>
      <c r="D104" s="128">
        <v>31.35</v>
      </c>
      <c r="E104" s="128">
        <f>2.23*2</f>
        <v>4.46</v>
      </c>
      <c r="F104" s="148" t="s">
        <v>2916</v>
      </c>
      <c r="G104" s="128">
        <f t="shared" si="9"/>
        <v>30.01</v>
      </c>
      <c r="H104" s="128"/>
      <c r="I104" s="128" t="str">
        <f t="shared" si="10"/>
        <v/>
      </c>
      <c r="J104" s="128"/>
      <c r="K104" s="128" t="str">
        <f t="shared" si="11"/>
        <v/>
      </c>
      <c r="L104" s="128"/>
      <c r="M104" s="128" t="str">
        <f t="shared" si="12"/>
        <v/>
      </c>
      <c r="N104" s="148"/>
      <c r="O104" s="128" t="str">
        <f t="shared" si="13"/>
        <v/>
      </c>
      <c r="P104" s="148"/>
      <c r="Q104" s="128" t="str">
        <f t="shared" si="14"/>
        <v/>
      </c>
      <c r="R104" s="148"/>
      <c r="S104" s="128" t="str">
        <f t="shared" si="15"/>
        <v/>
      </c>
      <c r="T104" s="47" t="str">
        <f t="shared" si="8"/>
        <v>OK!</v>
      </c>
    </row>
    <row r="105" spans="2:20" ht="16.5" x14ac:dyDescent="0.3">
      <c r="B105" s="129" t="s">
        <v>2672</v>
      </c>
      <c r="C105" s="128">
        <v>61.5</v>
      </c>
      <c r="D105" s="128">
        <v>60.31</v>
      </c>
      <c r="E105" s="128"/>
      <c r="F105" s="148" t="s">
        <v>2916</v>
      </c>
      <c r="G105" s="128">
        <f t="shared" si="9"/>
        <v>61.5</v>
      </c>
      <c r="H105" s="128"/>
      <c r="I105" s="128" t="str">
        <f t="shared" si="10"/>
        <v/>
      </c>
      <c r="J105" s="128"/>
      <c r="K105" s="128" t="str">
        <f t="shared" si="11"/>
        <v/>
      </c>
      <c r="L105" s="128"/>
      <c r="M105" s="128" t="str">
        <f t="shared" si="12"/>
        <v/>
      </c>
      <c r="N105" s="148"/>
      <c r="O105" s="128" t="str">
        <f t="shared" si="13"/>
        <v/>
      </c>
      <c r="P105" s="148"/>
      <c r="Q105" s="128" t="str">
        <f t="shared" si="14"/>
        <v/>
      </c>
      <c r="R105" s="148"/>
      <c r="S105" s="128" t="str">
        <f t="shared" si="15"/>
        <v/>
      </c>
      <c r="T105" s="47" t="str">
        <f t="shared" si="8"/>
        <v>OK!</v>
      </c>
    </row>
    <row r="106" spans="2:20" ht="16.5" x14ac:dyDescent="0.3">
      <c r="B106" s="129" t="s">
        <v>2673</v>
      </c>
      <c r="C106" s="128">
        <v>28.34</v>
      </c>
      <c r="D106" s="128">
        <v>22.05</v>
      </c>
      <c r="E106" s="128"/>
      <c r="F106" s="148" t="s">
        <v>2916</v>
      </c>
      <c r="G106" s="128">
        <f t="shared" si="9"/>
        <v>28.34</v>
      </c>
      <c r="H106" s="128"/>
      <c r="I106" s="128" t="str">
        <f t="shared" si="10"/>
        <v/>
      </c>
      <c r="J106" s="128"/>
      <c r="K106" s="128" t="str">
        <f t="shared" si="11"/>
        <v/>
      </c>
      <c r="L106" s="128"/>
      <c r="M106" s="128" t="str">
        <f t="shared" si="12"/>
        <v/>
      </c>
      <c r="N106" s="148"/>
      <c r="O106" s="128" t="str">
        <f t="shared" si="13"/>
        <v/>
      </c>
      <c r="P106" s="148"/>
      <c r="Q106" s="128" t="str">
        <f t="shared" si="14"/>
        <v/>
      </c>
      <c r="R106" s="148"/>
      <c r="S106" s="128" t="str">
        <f t="shared" si="15"/>
        <v/>
      </c>
      <c r="T106" s="47" t="str">
        <f t="shared" si="8"/>
        <v>OK!</v>
      </c>
    </row>
    <row r="107" spans="2:20" ht="16.5" x14ac:dyDescent="0.3">
      <c r="B107" s="129" t="s">
        <v>2674</v>
      </c>
      <c r="C107" s="128">
        <v>5.15</v>
      </c>
      <c r="D107" s="128">
        <v>9.99</v>
      </c>
      <c r="E107" s="128"/>
      <c r="F107" s="148" t="s">
        <v>2916</v>
      </c>
      <c r="G107" s="128">
        <f t="shared" si="9"/>
        <v>5.15</v>
      </c>
      <c r="H107" s="128"/>
      <c r="I107" s="128" t="str">
        <f t="shared" si="10"/>
        <v/>
      </c>
      <c r="J107" s="128"/>
      <c r="K107" s="128" t="str">
        <f t="shared" si="11"/>
        <v/>
      </c>
      <c r="L107" s="128"/>
      <c r="M107" s="128" t="str">
        <f t="shared" si="12"/>
        <v/>
      </c>
      <c r="N107" s="148"/>
      <c r="O107" s="128" t="str">
        <f t="shared" si="13"/>
        <v/>
      </c>
      <c r="P107" s="148"/>
      <c r="Q107" s="128" t="str">
        <f t="shared" si="14"/>
        <v/>
      </c>
      <c r="R107" s="148"/>
      <c r="S107" s="128" t="str">
        <f t="shared" si="15"/>
        <v/>
      </c>
      <c r="T107" s="47" t="str">
        <f t="shared" si="8"/>
        <v>OK!</v>
      </c>
    </row>
    <row r="108" spans="2:20" ht="16.5" x14ac:dyDescent="0.3">
      <c r="B108" s="129" t="s">
        <v>2675</v>
      </c>
      <c r="C108" s="128">
        <v>28.47</v>
      </c>
      <c r="D108" s="128">
        <v>22.12</v>
      </c>
      <c r="E108" s="128"/>
      <c r="F108" s="148" t="s">
        <v>2916</v>
      </c>
      <c r="G108" s="128">
        <f t="shared" si="9"/>
        <v>28.47</v>
      </c>
      <c r="H108" s="128"/>
      <c r="I108" s="128" t="str">
        <f t="shared" si="10"/>
        <v/>
      </c>
      <c r="J108" s="128"/>
      <c r="K108" s="128" t="str">
        <f t="shared" si="11"/>
        <v/>
      </c>
      <c r="L108" s="128"/>
      <c r="M108" s="128" t="str">
        <f t="shared" si="12"/>
        <v/>
      </c>
      <c r="N108" s="148"/>
      <c r="O108" s="128" t="str">
        <f t="shared" si="13"/>
        <v/>
      </c>
      <c r="P108" s="148"/>
      <c r="Q108" s="128" t="str">
        <f t="shared" si="14"/>
        <v/>
      </c>
      <c r="R108" s="148"/>
      <c r="S108" s="128" t="str">
        <f t="shared" si="15"/>
        <v/>
      </c>
      <c r="T108" s="47" t="str">
        <f t="shared" si="8"/>
        <v>OK!</v>
      </c>
    </row>
    <row r="109" spans="2:20" ht="16.5" x14ac:dyDescent="0.3">
      <c r="B109" s="129" t="s">
        <v>2676</v>
      </c>
      <c r="C109" s="128">
        <v>5.17</v>
      </c>
      <c r="D109" s="128">
        <v>10</v>
      </c>
      <c r="E109" s="128"/>
      <c r="F109" s="148" t="s">
        <v>2916</v>
      </c>
      <c r="G109" s="128">
        <f t="shared" si="9"/>
        <v>5.17</v>
      </c>
      <c r="H109" s="128"/>
      <c r="I109" s="128" t="str">
        <f t="shared" si="10"/>
        <v/>
      </c>
      <c r="J109" s="128"/>
      <c r="K109" s="128" t="str">
        <f t="shared" si="11"/>
        <v/>
      </c>
      <c r="L109" s="128"/>
      <c r="M109" s="128" t="str">
        <f t="shared" si="12"/>
        <v/>
      </c>
      <c r="N109" s="148"/>
      <c r="O109" s="128" t="str">
        <f t="shared" si="13"/>
        <v/>
      </c>
      <c r="P109" s="148"/>
      <c r="Q109" s="128" t="str">
        <f t="shared" si="14"/>
        <v/>
      </c>
      <c r="R109" s="148"/>
      <c r="S109" s="128" t="str">
        <f t="shared" si="15"/>
        <v/>
      </c>
      <c r="T109" s="47" t="str">
        <f t="shared" si="8"/>
        <v>OK!</v>
      </c>
    </row>
    <row r="110" spans="2:20" ht="16.5" x14ac:dyDescent="0.3">
      <c r="B110" s="129" t="s">
        <v>2677</v>
      </c>
      <c r="C110" s="128">
        <v>24.24</v>
      </c>
      <c r="D110" s="128">
        <v>20.55</v>
      </c>
      <c r="E110" s="128"/>
      <c r="F110" s="148" t="s">
        <v>2916</v>
      </c>
      <c r="G110" s="128">
        <f t="shared" si="9"/>
        <v>24.24</v>
      </c>
      <c r="H110" s="128"/>
      <c r="I110" s="128" t="str">
        <f t="shared" si="10"/>
        <v/>
      </c>
      <c r="J110" s="128"/>
      <c r="K110" s="128" t="str">
        <f t="shared" si="11"/>
        <v/>
      </c>
      <c r="L110" s="128"/>
      <c r="M110" s="128" t="str">
        <f t="shared" si="12"/>
        <v/>
      </c>
      <c r="N110" s="148"/>
      <c r="O110" s="128" t="str">
        <f t="shared" si="13"/>
        <v/>
      </c>
      <c r="P110" s="148"/>
      <c r="Q110" s="128" t="str">
        <f t="shared" si="14"/>
        <v/>
      </c>
      <c r="R110" s="148"/>
      <c r="S110" s="128" t="str">
        <f t="shared" si="15"/>
        <v/>
      </c>
      <c r="T110" s="47" t="str">
        <f t="shared" si="8"/>
        <v>OK!</v>
      </c>
    </row>
    <row r="111" spans="2:20" ht="16.5" x14ac:dyDescent="0.3">
      <c r="B111" s="129" t="s">
        <v>2678</v>
      </c>
      <c r="C111" s="128">
        <v>5.73</v>
      </c>
      <c r="D111" s="128">
        <v>10.62</v>
      </c>
      <c r="E111" s="128"/>
      <c r="F111" s="148" t="s">
        <v>2916</v>
      </c>
      <c r="G111" s="128">
        <f t="shared" si="9"/>
        <v>5.73</v>
      </c>
      <c r="H111" s="128"/>
      <c r="I111" s="128" t="str">
        <f t="shared" si="10"/>
        <v/>
      </c>
      <c r="J111" s="128"/>
      <c r="K111" s="128" t="str">
        <f t="shared" si="11"/>
        <v/>
      </c>
      <c r="L111" s="128"/>
      <c r="M111" s="128" t="str">
        <f t="shared" si="12"/>
        <v/>
      </c>
      <c r="N111" s="148"/>
      <c r="O111" s="128" t="str">
        <f t="shared" si="13"/>
        <v/>
      </c>
      <c r="P111" s="148"/>
      <c r="Q111" s="128" t="str">
        <f t="shared" si="14"/>
        <v/>
      </c>
      <c r="R111" s="148"/>
      <c r="S111" s="128" t="str">
        <f t="shared" si="15"/>
        <v/>
      </c>
      <c r="T111" s="47" t="str">
        <f t="shared" si="8"/>
        <v>OK!</v>
      </c>
    </row>
    <row r="112" spans="2:20" ht="16.5" x14ac:dyDescent="0.3">
      <c r="B112" s="129" t="s">
        <v>2598</v>
      </c>
      <c r="C112" s="128">
        <v>3.28</v>
      </c>
      <c r="D112" s="128">
        <v>7.54</v>
      </c>
      <c r="E112" s="128"/>
      <c r="F112" s="148" t="s">
        <v>2916</v>
      </c>
      <c r="G112" s="128">
        <f t="shared" si="9"/>
        <v>3.28</v>
      </c>
      <c r="H112" s="128"/>
      <c r="I112" s="128" t="str">
        <f t="shared" si="10"/>
        <v/>
      </c>
      <c r="J112" s="128"/>
      <c r="K112" s="128" t="str">
        <f t="shared" si="11"/>
        <v/>
      </c>
      <c r="L112" s="128"/>
      <c r="M112" s="128" t="str">
        <f t="shared" si="12"/>
        <v/>
      </c>
      <c r="N112" s="148"/>
      <c r="O112" s="128" t="str">
        <f t="shared" si="13"/>
        <v/>
      </c>
      <c r="P112" s="148"/>
      <c r="Q112" s="128" t="str">
        <f t="shared" si="14"/>
        <v/>
      </c>
      <c r="R112" s="148"/>
      <c r="S112" s="128" t="str">
        <f t="shared" si="15"/>
        <v/>
      </c>
      <c r="T112" s="47" t="str">
        <f t="shared" si="8"/>
        <v>OK!</v>
      </c>
    </row>
    <row r="113" spans="2:20" ht="16.5" x14ac:dyDescent="0.3">
      <c r="B113" s="129" t="s">
        <v>2679</v>
      </c>
      <c r="C113" s="128">
        <v>29.15</v>
      </c>
      <c r="D113" s="128">
        <v>22.41</v>
      </c>
      <c r="E113" s="128"/>
      <c r="F113" s="148" t="s">
        <v>2916</v>
      </c>
      <c r="G113" s="128">
        <f t="shared" si="9"/>
        <v>29.15</v>
      </c>
      <c r="H113" s="128"/>
      <c r="I113" s="128" t="str">
        <f t="shared" si="10"/>
        <v/>
      </c>
      <c r="J113" s="128"/>
      <c r="K113" s="128" t="str">
        <f t="shared" si="11"/>
        <v/>
      </c>
      <c r="L113" s="128"/>
      <c r="M113" s="128" t="str">
        <f t="shared" si="12"/>
        <v/>
      </c>
      <c r="N113" s="148"/>
      <c r="O113" s="128" t="str">
        <f t="shared" si="13"/>
        <v/>
      </c>
      <c r="P113" s="148"/>
      <c r="Q113" s="128" t="str">
        <f t="shared" si="14"/>
        <v/>
      </c>
      <c r="R113" s="148"/>
      <c r="S113" s="128" t="str">
        <f t="shared" si="15"/>
        <v/>
      </c>
      <c r="T113" s="47" t="str">
        <f t="shared" si="8"/>
        <v>OK!</v>
      </c>
    </row>
    <row r="114" spans="2:20" ht="16.5" x14ac:dyDescent="0.3">
      <c r="B114" s="129" t="s">
        <v>2680</v>
      </c>
      <c r="C114" s="128">
        <v>5.13</v>
      </c>
      <c r="D114" s="128">
        <v>9.9700000000000006</v>
      </c>
      <c r="E114" s="128"/>
      <c r="F114" s="148" t="s">
        <v>2916</v>
      </c>
      <c r="G114" s="128">
        <f t="shared" si="9"/>
        <v>5.13</v>
      </c>
      <c r="H114" s="128"/>
      <c r="I114" s="128" t="str">
        <f t="shared" si="10"/>
        <v/>
      </c>
      <c r="J114" s="128"/>
      <c r="K114" s="128" t="str">
        <f t="shared" si="11"/>
        <v/>
      </c>
      <c r="L114" s="128"/>
      <c r="M114" s="128" t="str">
        <f t="shared" si="12"/>
        <v/>
      </c>
      <c r="N114" s="148"/>
      <c r="O114" s="128" t="str">
        <f t="shared" si="13"/>
        <v/>
      </c>
      <c r="P114" s="148"/>
      <c r="Q114" s="128" t="str">
        <f t="shared" si="14"/>
        <v/>
      </c>
      <c r="R114" s="148"/>
      <c r="S114" s="128" t="str">
        <f t="shared" si="15"/>
        <v/>
      </c>
      <c r="T114" s="47" t="str">
        <f t="shared" si="8"/>
        <v>OK!</v>
      </c>
    </row>
    <row r="115" spans="2:20" ht="16.5" x14ac:dyDescent="0.3">
      <c r="B115" s="136" t="s">
        <v>2681</v>
      </c>
      <c r="C115" s="128"/>
      <c r="D115" s="128"/>
      <c r="E115" s="128"/>
      <c r="F115" s="148"/>
      <c r="G115" s="128"/>
      <c r="H115" s="128"/>
      <c r="I115" s="128" t="str">
        <f t="shared" si="10"/>
        <v/>
      </c>
      <c r="J115" s="128"/>
      <c r="K115" s="128" t="str">
        <f t="shared" si="11"/>
        <v/>
      </c>
      <c r="L115" s="128"/>
      <c r="M115" s="128" t="str">
        <f t="shared" si="12"/>
        <v/>
      </c>
      <c r="N115" s="148"/>
      <c r="O115" s="128" t="str">
        <f t="shared" si="13"/>
        <v/>
      </c>
      <c r="P115" s="148"/>
      <c r="Q115" s="128" t="str">
        <f t="shared" si="14"/>
        <v/>
      </c>
      <c r="R115" s="148"/>
      <c r="S115" s="128" t="str">
        <f t="shared" si="15"/>
        <v/>
      </c>
      <c r="T115" s="47" t="str">
        <f t="shared" si="8"/>
        <v>OK!</v>
      </c>
    </row>
    <row r="116" spans="2:20" ht="16.5" x14ac:dyDescent="0.3">
      <c r="B116" s="129" t="s">
        <v>2681</v>
      </c>
      <c r="C116" s="128">
        <v>227.48</v>
      </c>
      <c r="D116" s="128">
        <v>67.66</v>
      </c>
      <c r="E116" s="128"/>
      <c r="F116" s="148" t="s">
        <v>2916</v>
      </c>
      <c r="G116" s="128">
        <f t="shared" si="9"/>
        <v>227.48</v>
      </c>
      <c r="H116" s="128"/>
      <c r="I116" s="128" t="str">
        <f t="shared" si="10"/>
        <v/>
      </c>
      <c r="J116" s="128"/>
      <c r="K116" s="128" t="str">
        <f t="shared" si="11"/>
        <v/>
      </c>
      <c r="L116" s="128"/>
      <c r="M116" s="128" t="str">
        <f t="shared" si="12"/>
        <v/>
      </c>
      <c r="N116" s="148"/>
      <c r="O116" s="128" t="str">
        <f t="shared" si="13"/>
        <v/>
      </c>
      <c r="P116" s="148"/>
      <c r="Q116" s="128" t="str">
        <f t="shared" si="14"/>
        <v/>
      </c>
      <c r="R116" s="148"/>
      <c r="S116" s="128" t="str">
        <f t="shared" si="15"/>
        <v/>
      </c>
      <c r="T116" s="47" t="str">
        <f t="shared" si="8"/>
        <v>OK!</v>
      </c>
    </row>
    <row r="117" spans="2:20" ht="16.5" x14ac:dyDescent="0.3">
      <c r="B117" s="136" t="s">
        <v>2682</v>
      </c>
      <c r="C117" s="128"/>
      <c r="D117" s="128"/>
      <c r="E117" s="128"/>
      <c r="F117" s="148"/>
      <c r="G117" s="128"/>
      <c r="H117" s="128"/>
      <c r="I117" s="128" t="str">
        <f t="shared" si="10"/>
        <v/>
      </c>
      <c r="J117" s="128"/>
      <c r="K117" s="128" t="str">
        <f t="shared" si="11"/>
        <v/>
      </c>
      <c r="L117" s="128"/>
      <c r="M117" s="128" t="str">
        <f t="shared" si="12"/>
        <v/>
      </c>
      <c r="N117" s="148"/>
      <c r="O117" s="128" t="str">
        <f t="shared" si="13"/>
        <v/>
      </c>
      <c r="P117" s="148"/>
      <c r="Q117" s="128" t="str">
        <f t="shared" si="14"/>
        <v/>
      </c>
      <c r="R117" s="148"/>
      <c r="S117" s="128" t="str">
        <f t="shared" si="15"/>
        <v/>
      </c>
      <c r="T117" s="47" t="str">
        <f t="shared" si="8"/>
        <v>OK!</v>
      </c>
    </row>
    <row r="118" spans="2:20" ht="16.5" x14ac:dyDescent="0.3">
      <c r="B118" s="129" t="s">
        <v>2683</v>
      </c>
      <c r="C118" s="128">
        <v>11.29</v>
      </c>
      <c r="D118" s="128">
        <v>15.4</v>
      </c>
      <c r="E118" s="128"/>
      <c r="F118" s="148" t="s">
        <v>2916</v>
      </c>
      <c r="G118" s="128">
        <f t="shared" si="9"/>
        <v>11.29</v>
      </c>
      <c r="H118" s="128"/>
      <c r="I118" s="128" t="str">
        <f t="shared" si="10"/>
        <v/>
      </c>
      <c r="J118" s="128"/>
      <c r="K118" s="128" t="str">
        <f t="shared" si="11"/>
        <v/>
      </c>
      <c r="L118" s="128"/>
      <c r="M118" s="128" t="str">
        <f t="shared" si="12"/>
        <v/>
      </c>
      <c r="N118" s="148"/>
      <c r="O118" s="128" t="str">
        <f t="shared" si="13"/>
        <v/>
      </c>
      <c r="P118" s="148"/>
      <c r="Q118" s="128" t="str">
        <f t="shared" si="14"/>
        <v/>
      </c>
      <c r="R118" s="148"/>
      <c r="S118" s="128" t="str">
        <f t="shared" si="15"/>
        <v/>
      </c>
      <c r="T118" s="47" t="str">
        <f t="shared" si="8"/>
        <v>OK!</v>
      </c>
    </row>
    <row r="119" spans="2:20" ht="16.5" x14ac:dyDescent="0.3">
      <c r="B119" s="129" t="s">
        <v>2684</v>
      </c>
      <c r="C119" s="128">
        <v>11.27</v>
      </c>
      <c r="D119" s="128">
        <v>15.65</v>
      </c>
      <c r="E119" s="128"/>
      <c r="F119" s="148" t="s">
        <v>2916</v>
      </c>
      <c r="G119" s="128">
        <f t="shared" si="9"/>
        <v>11.27</v>
      </c>
      <c r="H119" s="128"/>
      <c r="I119" s="128" t="str">
        <f t="shared" si="10"/>
        <v/>
      </c>
      <c r="J119" s="128"/>
      <c r="K119" s="128" t="str">
        <f t="shared" si="11"/>
        <v/>
      </c>
      <c r="L119" s="128"/>
      <c r="M119" s="128" t="str">
        <f t="shared" si="12"/>
        <v/>
      </c>
      <c r="N119" s="148"/>
      <c r="O119" s="128" t="str">
        <f t="shared" si="13"/>
        <v/>
      </c>
      <c r="P119" s="148"/>
      <c r="Q119" s="128" t="str">
        <f t="shared" si="14"/>
        <v/>
      </c>
      <c r="R119" s="148"/>
      <c r="S119" s="128" t="str">
        <f t="shared" si="15"/>
        <v/>
      </c>
      <c r="T119" s="47" t="str">
        <f t="shared" si="8"/>
        <v>OK!</v>
      </c>
    </row>
    <row r="120" spans="2:20" ht="16.5" x14ac:dyDescent="0.3">
      <c r="B120" s="129" t="s">
        <v>2685</v>
      </c>
      <c r="C120" s="128">
        <v>3.94</v>
      </c>
      <c r="D120" s="128">
        <v>8</v>
      </c>
      <c r="E120" s="128"/>
      <c r="F120" s="148" t="s">
        <v>2916</v>
      </c>
      <c r="G120" s="128">
        <f t="shared" si="9"/>
        <v>3.94</v>
      </c>
      <c r="H120" s="128"/>
      <c r="I120" s="128" t="str">
        <f t="shared" si="10"/>
        <v/>
      </c>
      <c r="J120" s="128"/>
      <c r="K120" s="128" t="str">
        <f t="shared" si="11"/>
        <v/>
      </c>
      <c r="L120" s="128"/>
      <c r="M120" s="128" t="str">
        <f t="shared" si="12"/>
        <v/>
      </c>
      <c r="N120" s="148"/>
      <c r="O120" s="128" t="str">
        <f t="shared" si="13"/>
        <v/>
      </c>
      <c r="P120" s="148"/>
      <c r="Q120" s="128" t="str">
        <f t="shared" si="14"/>
        <v/>
      </c>
      <c r="R120" s="148"/>
      <c r="S120" s="128" t="str">
        <f t="shared" si="15"/>
        <v/>
      </c>
      <c r="T120" s="47" t="str">
        <f t="shared" si="8"/>
        <v>OK!</v>
      </c>
    </row>
    <row r="121" spans="2:20" ht="16.5" x14ac:dyDescent="0.3">
      <c r="B121" s="129" t="s">
        <v>2591</v>
      </c>
      <c r="C121" s="128">
        <v>3</v>
      </c>
      <c r="D121" s="128">
        <v>7</v>
      </c>
      <c r="E121" s="128"/>
      <c r="F121" s="148" t="s">
        <v>2916</v>
      </c>
      <c r="G121" s="128">
        <f t="shared" si="9"/>
        <v>3</v>
      </c>
      <c r="H121" s="128"/>
      <c r="I121" s="128" t="str">
        <f t="shared" si="10"/>
        <v/>
      </c>
      <c r="J121" s="128"/>
      <c r="K121" s="128" t="str">
        <f t="shared" si="11"/>
        <v/>
      </c>
      <c r="L121" s="128"/>
      <c r="M121" s="128" t="str">
        <f t="shared" si="12"/>
        <v/>
      </c>
      <c r="N121" s="148"/>
      <c r="O121" s="128" t="str">
        <f t="shared" si="13"/>
        <v/>
      </c>
      <c r="P121" s="148"/>
      <c r="Q121" s="128" t="str">
        <f t="shared" si="14"/>
        <v/>
      </c>
      <c r="R121" s="148"/>
      <c r="S121" s="128" t="str">
        <f t="shared" si="15"/>
        <v/>
      </c>
      <c r="T121" s="47" t="str">
        <f t="shared" si="8"/>
        <v>OK!</v>
      </c>
    </row>
    <row r="122" spans="2:20" ht="16.5" x14ac:dyDescent="0.3">
      <c r="B122" s="129" t="s">
        <v>2590</v>
      </c>
      <c r="C122" s="128">
        <v>5.34</v>
      </c>
      <c r="D122" s="128">
        <v>9.6</v>
      </c>
      <c r="E122" s="128"/>
      <c r="F122" s="148" t="s">
        <v>2916</v>
      </c>
      <c r="G122" s="128">
        <f t="shared" si="9"/>
        <v>5.34</v>
      </c>
      <c r="H122" s="128"/>
      <c r="I122" s="128" t="str">
        <f t="shared" si="10"/>
        <v/>
      </c>
      <c r="J122" s="128"/>
      <c r="K122" s="128" t="str">
        <f t="shared" si="11"/>
        <v/>
      </c>
      <c r="L122" s="128"/>
      <c r="M122" s="128" t="str">
        <f t="shared" si="12"/>
        <v/>
      </c>
      <c r="N122" s="148"/>
      <c r="O122" s="128" t="str">
        <f t="shared" si="13"/>
        <v/>
      </c>
      <c r="P122" s="148"/>
      <c r="Q122" s="128" t="str">
        <f t="shared" si="14"/>
        <v/>
      </c>
      <c r="R122" s="148"/>
      <c r="S122" s="128" t="str">
        <f t="shared" si="15"/>
        <v/>
      </c>
      <c r="T122" s="47" t="str">
        <f t="shared" si="8"/>
        <v>OK!</v>
      </c>
    </row>
    <row r="123" spans="2:20" ht="16.5" x14ac:dyDescent="0.3">
      <c r="B123" s="129" t="s">
        <v>2686</v>
      </c>
      <c r="C123" s="128">
        <v>10</v>
      </c>
      <c r="D123" s="128">
        <v>14</v>
      </c>
      <c r="E123" s="128"/>
      <c r="F123" s="148" t="s">
        <v>2916</v>
      </c>
      <c r="G123" s="128">
        <f t="shared" si="9"/>
        <v>10</v>
      </c>
      <c r="H123" s="128"/>
      <c r="I123" s="128" t="str">
        <f t="shared" si="10"/>
        <v/>
      </c>
      <c r="J123" s="128"/>
      <c r="K123" s="128" t="str">
        <f t="shared" si="11"/>
        <v/>
      </c>
      <c r="L123" s="128"/>
      <c r="M123" s="128" t="str">
        <f t="shared" si="12"/>
        <v/>
      </c>
      <c r="N123" s="148"/>
      <c r="O123" s="128" t="str">
        <f t="shared" si="13"/>
        <v/>
      </c>
      <c r="P123" s="148"/>
      <c r="Q123" s="128" t="str">
        <f t="shared" si="14"/>
        <v/>
      </c>
      <c r="R123" s="148"/>
      <c r="S123" s="128" t="str">
        <f t="shared" si="15"/>
        <v/>
      </c>
      <c r="T123" s="47" t="str">
        <f t="shared" si="8"/>
        <v>OK!</v>
      </c>
    </row>
    <row r="124" spans="2:20" ht="16.5" x14ac:dyDescent="0.3">
      <c r="B124" s="129" t="s">
        <v>2687</v>
      </c>
      <c r="C124" s="128">
        <v>14.98</v>
      </c>
      <c r="D124" s="128">
        <v>16</v>
      </c>
      <c r="E124" s="128"/>
      <c r="F124" s="148" t="s">
        <v>2916</v>
      </c>
      <c r="G124" s="128">
        <f t="shared" si="9"/>
        <v>14.98</v>
      </c>
      <c r="H124" s="128"/>
      <c r="I124" s="128" t="str">
        <f t="shared" si="10"/>
        <v/>
      </c>
      <c r="J124" s="128"/>
      <c r="K124" s="128" t="str">
        <f t="shared" si="11"/>
        <v/>
      </c>
      <c r="L124" s="128"/>
      <c r="M124" s="128" t="str">
        <f t="shared" si="12"/>
        <v/>
      </c>
      <c r="N124" s="148"/>
      <c r="O124" s="128" t="str">
        <f t="shared" si="13"/>
        <v/>
      </c>
      <c r="P124" s="148"/>
      <c r="Q124" s="128" t="str">
        <f t="shared" si="14"/>
        <v/>
      </c>
      <c r="R124" s="148"/>
      <c r="S124" s="128" t="str">
        <f t="shared" si="15"/>
        <v/>
      </c>
      <c r="T124" s="47" t="str">
        <f t="shared" si="8"/>
        <v>OK!</v>
      </c>
    </row>
    <row r="125" spans="2:20" ht="16.5" x14ac:dyDescent="0.3">
      <c r="B125" s="129" t="s">
        <v>2594</v>
      </c>
      <c r="C125" s="128">
        <v>30.13</v>
      </c>
      <c r="D125" s="128">
        <v>41.69</v>
      </c>
      <c r="E125" s="128">
        <v>2.78</v>
      </c>
      <c r="F125" s="148" t="s">
        <v>2916</v>
      </c>
      <c r="G125" s="128">
        <f t="shared" si="9"/>
        <v>30.13</v>
      </c>
      <c r="H125" s="128"/>
      <c r="I125" s="128" t="str">
        <f t="shared" si="10"/>
        <v/>
      </c>
      <c r="J125" s="128"/>
      <c r="K125" s="128" t="str">
        <f t="shared" si="11"/>
        <v/>
      </c>
      <c r="L125" s="128"/>
      <c r="M125" s="128" t="str">
        <f t="shared" si="12"/>
        <v/>
      </c>
      <c r="N125" s="148"/>
      <c r="O125" s="128" t="str">
        <f t="shared" si="13"/>
        <v/>
      </c>
      <c r="P125" s="148"/>
      <c r="Q125" s="128" t="str">
        <f t="shared" si="14"/>
        <v/>
      </c>
      <c r="R125" s="148"/>
      <c r="S125" s="128" t="str">
        <f t="shared" si="15"/>
        <v/>
      </c>
      <c r="T125" s="47" t="str">
        <f t="shared" si="8"/>
        <v>OK!</v>
      </c>
    </row>
    <row r="126" spans="2:20" ht="16.5" x14ac:dyDescent="0.3">
      <c r="B126" s="129" t="s">
        <v>2688</v>
      </c>
      <c r="C126" s="128">
        <v>14.26</v>
      </c>
      <c r="D126" s="128">
        <v>15.16</v>
      </c>
      <c r="E126" s="128"/>
      <c r="F126" s="148" t="s">
        <v>2916</v>
      </c>
      <c r="G126" s="128">
        <f t="shared" si="9"/>
        <v>14.26</v>
      </c>
      <c r="H126" s="128"/>
      <c r="I126" s="128" t="str">
        <f t="shared" si="10"/>
        <v/>
      </c>
      <c r="J126" s="128"/>
      <c r="K126" s="128" t="str">
        <f t="shared" si="11"/>
        <v/>
      </c>
      <c r="L126" s="128"/>
      <c r="M126" s="128" t="str">
        <f t="shared" si="12"/>
        <v/>
      </c>
      <c r="N126" s="148"/>
      <c r="O126" s="128" t="str">
        <f t="shared" si="13"/>
        <v/>
      </c>
      <c r="P126" s="148"/>
      <c r="Q126" s="128" t="str">
        <f t="shared" si="14"/>
        <v/>
      </c>
      <c r="R126" s="148"/>
      <c r="S126" s="128" t="str">
        <f t="shared" si="15"/>
        <v/>
      </c>
      <c r="T126" s="47" t="str">
        <f t="shared" si="8"/>
        <v>OK!</v>
      </c>
    </row>
    <row r="127" spans="2:20" ht="16.5" x14ac:dyDescent="0.3">
      <c r="B127" s="129" t="s">
        <v>2689</v>
      </c>
      <c r="C127" s="128">
        <v>14.29</v>
      </c>
      <c r="D127" s="128">
        <v>15.16</v>
      </c>
      <c r="E127" s="128"/>
      <c r="F127" s="148" t="s">
        <v>2916</v>
      </c>
      <c r="G127" s="128">
        <f t="shared" si="9"/>
        <v>14.29</v>
      </c>
      <c r="H127" s="128"/>
      <c r="I127" s="128" t="str">
        <f t="shared" si="10"/>
        <v/>
      </c>
      <c r="J127" s="128"/>
      <c r="K127" s="128" t="str">
        <f t="shared" si="11"/>
        <v/>
      </c>
      <c r="L127" s="128"/>
      <c r="M127" s="128" t="str">
        <f t="shared" si="12"/>
        <v/>
      </c>
      <c r="N127" s="148"/>
      <c r="O127" s="128" t="str">
        <f t="shared" si="13"/>
        <v/>
      </c>
      <c r="P127" s="148"/>
      <c r="Q127" s="128" t="str">
        <f t="shared" si="14"/>
        <v/>
      </c>
      <c r="R127" s="148"/>
      <c r="S127" s="128" t="str">
        <f t="shared" si="15"/>
        <v/>
      </c>
      <c r="T127" s="47" t="str">
        <f t="shared" si="8"/>
        <v>OK!</v>
      </c>
    </row>
    <row r="128" spans="2:20" ht="16.5" x14ac:dyDescent="0.3">
      <c r="B128" s="129" t="s">
        <v>2690</v>
      </c>
      <c r="C128" s="128">
        <v>131.16</v>
      </c>
      <c r="D128" s="128">
        <v>53.06</v>
      </c>
      <c r="E128" s="128">
        <v>2.75</v>
      </c>
      <c r="F128" s="148" t="s">
        <v>2916</v>
      </c>
      <c r="G128" s="128">
        <f t="shared" si="9"/>
        <v>131.16</v>
      </c>
      <c r="H128" s="128"/>
      <c r="I128" s="128" t="str">
        <f t="shared" si="10"/>
        <v/>
      </c>
      <c r="J128" s="128"/>
      <c r="K128" s="128" t="str">
        <f t="shared" si="11"/>
        <v/>
      </c>
      <c r="L128" s="128"/>
      <c r="M128" s="128" t="str">
        <f t="shared" si="12"/>
        <v/>
      </c>
      <c r="N128" s="148"/>
      <c r="O128" s="128" t="str">
        <f t="shared" si="13"/>
        <v/>
      </c>
      <c r="P128" s="148"/>
      <c r="Q128" s="128" t="str">
        <f t="shared" si="14"/>
        <v/>
      </c>
      <c r="R128" s="148"/>
      <c r="S128" s="128" t="str">
        <f t="shared" si="15"/>
        <v/>
      </c>
      <c r="T128" s="47" t="str">
        <f t="shared" si="8"/>
        <v>OK!</v>
      </c>
    </row>
    <row r="129" spans="2:20" ht="16.5" x14ac:dyDescent="0.3">
      <c r="B129" s="129" t="s">
        <v>2691</v>
      </c>
      <c r="C129" s="128">
        <v>23.93</v>
      </c>
      <c r="D129" s="128">
        <v>21.15</v>
      </c>
      <c r="E129" s="128"/>
      <c r="F129" s="148" t="s">
        <v>2916</v>
      </c>
      <c r="G129" s="128">
        <f t="shared" si="9"/>
        <v>23.93</v>
      </c>
      <c r="H129" s="128"/>
      <c r="I129" s="128" t="str">
        <f t="shared" si="10"/>
        <v/>
      </c>
      <c r="J129" s="128"/>
      <c r="K129" s="128" t="str">
        <f t="shared" si="11"/>
        <v/>
      </c>
      <c r="L129" s="128"/>
      <c r="M129" s="128" t="str">
        <f t="shared" si="12"/>
        <v/>
      </c>
      <c r="N129" s="148"/>
      <c r="O129" s="128" t="str">
        <f t="shared" si="13"/>
        <v/>
      </c>
      <c r="P129" s="148"/>
      <c r="Q129" s="128" t="str">
        <f t="shared" si="14"/>
        <v/>
      </c>
      <c r="R129" s="148"/>
      <c r="S129" s="128" t="str">
        <f t="shared" si="15"/>
        <v/>
      </c>
      <c r="T129" s="47" t="str">
        <f t="shared" si="8"/>
        <v>OK!</v>
      </c>
    </row>
    <row r="130" spans="2:20" ht="16.5" x14ac:dyDescent="0.3">
      <c r="B130" s="129" t="s">
        <v>2692</v>
      </c>
      <c r="C130" s="128">
        <v>75.77</v>
      </c>
      <c r="D130" s="128">
        <v>43.27</v>
      </c>
      <c r="E130" s="128">
        <f>2.75*2</f>
        <v>5.5</v>
      </c>
      <c r="F130" s="148" t="s">
        <v>2916</v>
      </c>
      <c r="G130" s="128">
        <f t="shared" si="9"/>
        <v>75.77</v>
      </c>
      <c r="H130" s="128"/>
      <c r="I130" s="128" t="str">
        <f t="shared" si="10"/>
        <v/>
      </c>
      <c r="J130" s="128"/>
      <c r="K130" s="128" t="str">
        <f t="shared" si="11"/>
        <v/>
      </c>
      <c r="L130" s="128"/>
      <c r="M130" s="128" t="str">
        <f t="shared" si="12"/>
        <v/>
      </c>
      <c r="N130" s="148"/>
      <c r="O130" s="128" t="str">
        <f t="shared" si="13"/>
        <v/>
      </c>
      <c r="P130" s="148"/>
      <c r="Q130" s="128" t="str">
        <f t="shared" si="14"/>
        <v/>
      </c>
      <c r="R130" s="148"/>
      <c r="S130" s="128" t="str">
        <f t="shared" si="15"/>
        <v/>
      </c>
      <c r="T130" s="47" t="str">
        <f t="shared" si="8"/>
        <v>OK!</v>
      </c>
    </row>
    <row r="131" spans="2:20" ht="16.5" x14ac:dyDescent="0.3">
      <c r="B131" s="129" t="s">
        <v>2545</v>
      </c>
      <c r="C131" s="128">
        <v>4.13</v>
      </c>
      <c r="D131" s="128">
        <v>8.57</v>
      </c>
      <c r="E131" s="128"/>
      <c r="F131" s="148" t="s">
        <v>2916</v>
      </c>
      <c r="G131" s="128">
        <f t="shared" si="9"/>
        <v>4.13</v>
      </c>
      <c r="H131" s="128"/>
      <c r="I131" s="128" t="str">
        <f t="shared" si="10"/>
        <v/>
      </c>
      <c r="J131" s="128"/>
      <c r="K131" s="128" t="str">
        <f t="shared" si="11"/>
        <v/>
      </c>
      <c r="L131" s="128"/>
      <c r="M131" s="128" t="str">
        <f t="shared" si="12"/>
        <v/>
      </c>
      <c r="N131" s="148"/>
      <c r="O131" s="128" t="str">
        <f t="shared" si="13"/>
        <v/>
      </c>
      <c r="P131" s="148"/>
      <c r="Q131" s="128" t="str">
        <f t="shared" si="14"/>
        <v/>
      </c>
      <c r="R131" s="148"/>
      <c r="S131" s="128" t="str">
        <f t="shared" si="15"/>
        <v/>
      </c>
      <c r="T131" s="47" t="str">
        <f t="shared" si="8"/>
        <v>OK!</v>
      </c>
    </row>
    <row r="132" spans="2:20" ht="16.5" x14ac:dyDescent="0.3">
      <c r="B132" s="129" t="s">
        <v>2693</v>
      </c>
      <c r="C132" s="128">
        <v>5.37</v>
      </c>
      <c r="D132" s="128">
        <v>9.44</v>
      </c>
      <c r="E132" s="128"/>
      <c r="F132" s="148" t="s">
        <v>2916</v>
      </c>
      <c r="G132" s="128">
        <f t="shared" si="9"/>
        <v>5.37</v>
      </c>
      <c r="H132" s="128"/>
      <c r="I132" s="128" t="str">
        <f t="shared" si="10"/>
        <v/>
      </c>
      <c r="J132" s="128"/>
      <c r="K132" s="128" t="str">
        <f t="shared" si="11"/>
        <v/>
      </c>
      <c r="L132" s="128"/>
      <c r="M132" s="128" t="str">
        <f t="shared" si="12"/>
        <v/>
      </c>
      <c r="N132" s="148"/>
      <c r="O132" s="128" t="str">
        <f t="shared" si="13"/>
        <v/>
      </c>
      <c r="P132" s="148"/>
      <c r="Q132" s="128" t="str">
        <f t="shared" si="14"/>
        <v/>
      </c>
      <c r="R132" s="148"/>
      <c r="S132" s="128" t="str">
        <f t="shared" si="15"/>
        <v/>
      </c>
      <c r="T132" s="47" t="str">
        <f t="shared" si="8"/>
        <v>OK!</v>
      </c>
    </row>
    <row r="133" spans="2:20" ht="16.5" x14ac:dyDescent="0.3">
      <c r="B133" s="129" t="s">
        <v>2694</v>
      </c>
      <c r="C133" s="128">
        <v>3.44</v>
      </c>
      <c r="D133" s="128">
        <v>8.07</v>
      </c>
      <c r="E133" s="128"/>
      <c r="F133" s="148" t="s">
        <v>2916</v>
      </c>
      <c r="G133" s="128">
        <f t="shared" si="9"/>
        <v>3.44</v>
      </c>
      <c r="H133" s="128"/>
      <c r="I133" s="128" t="str">
        <f t="shared" si="10"/>
        <v/>
      </c>
      <c r="J133" s="128"/>
      <c r="K133" s="128" t="str">
        <f t="shared" si="11"/>
        <v/>
      </c>
      <c r="L133" s="128"/>
      <c r="M133" s="128" t="str">
        <f t="shared" si="12"/>
        <v/>
      </c>
      <c r="N133" s="148"/>
      <c r="O133" s="128" t="str">
        <f t="shared" si="13"/>
        <v/>
      </c>
      <c r="P133" s="148"/>
      <c r="Q133" s="128" t="str">
        <f t="shared" si="14"/>
        <v/>
      </c>
      <c r="R133" s="148"/>
      <c r="S133" s="128" t="str">
        <f t="shared" si="15"/>
        <v/>
      </c>
      <c r="T133" s="47" t="str">
        <f t="shared" ref="T133:T196" si="16">IF(COUNT(F133:S133)&gt;1,"Corrigir!","OK!")</f>
        <v>OK!</v>
      </c>
    </row>
    <row r="134" spans="2:20" ht="16.5" x14ac:dyDescent="0.3">
      <c r="B134" s="129" t="s">
        <v>2695</v>
      </c>
      <c r="C134" s="128">
        <v>62.77</v>
      </c>
      <c r="D134" s="128">
        <v>39.450000000000003</v>
      </c>
      <c r="E134" s="128"/>
      <c r="F134" s="148" t="s">
        <v>2916</v>
      </c>
      <c r="G134" s="128">
        <f t="shared" si="9"/>
        <v>62.77</v>
      </c>
      <c r="H134" s="128"/>
      <c r="I134" s="128" t="str">
        <f t="shared" si="10"/>
        <v/>
      </c>
      <c r="J134" s="128"/>
      <c r="K134" s="128" t="str">
        <f t="shared" si="11"/>
        <v/>
      </c>
      <c r="L134" s="128"/>
      <c r="M134" s="128" t="str">
        <f t="shared" si="12"/>
        <v/>
      </c>
      <c r="N134" s="148"/>
      <c r="O134" s="128" t="str">
        <f t="shared" si="13"/>
        <v/>
      </c>
      <c r="P134" s="148"/>
      <c r="Q134" s="128" t="str">
        <f t="shared" si="14"/>
        <v/>
      </c>
      <c r="R134" s="148"/>
      <c r="S134" s="128" t="str">
        <f t="shared" si="15"/>
        <v/>
      </c>
      <c r="T134" s="47" t="str">
        <f t="shared" si="16"/>
        <v>OK!</v>
      </c>
    </row>
    <row r="135" spans="2:20" ht="16.5" x14ac:dyDescent="0.3">
      <c r="B135" s="129" t="s">
        <v>2696</v>
      </c>
      <c r="C135" s="128">
        <v>153.26</v>
      </c>
      <c r="D135" s="128">
        <v>68.150000000000006</v>
      </c>
      <c r="E135" s="128"/>
      <c r="F135" s="148" t="s">
        <v>2916</v>
      </c>
      <c r="G135" s="128">
        <f t="shared" ref="G135:G198" si="17">IF(F135="x",$C135,"")</f>
        <v>153.26</v>
      </c>
      <c r="H135" s="128"/>
      <c r="I135" s="128" t="str">
        <f t="shared" ref="I135:I198" si="18">IF(H135="x",$C135,"")</f>
        <v/>
      </c>
      <c r="J135" s="128"/>
      <c r="K135" s="128" t="str">
        <f t="shared" ref="K135:K198" si="19">IF(J135="x",$C135,"")</f>
        <v/>
      </c>
      <c r="L135" s="128"/>
      <c r="M135" s="128" t="str">
        <f t="shared" ref="M135:M198" si="20">IF(L135="x",$C135,"")</f>
        <v/>
      </c>
      <c r="N135" s="148"/>
      <c r="O135" s="128" t="str">
        <f t="shared" ref="O135:O198" si="21">IF(N135="x",$C135,"")</f>
        <v/>
      </c>
      <c r="P135" s="148"/>
      <c r="Q135" s="128" t="str">
        <f t="shared" ref="Q135:Q198" si="22">IF(P135="x",$C135,"")</f>
        <v/>
      </c>
      <c r="R135" s="148"/>
      <c r="S135" s="128" t="str">
        <f t="shared" ref="S135:S198" si="23">IF(R135="x",$C135,"")</f>
        <v/>
      </c>
      <c r="T135" s="47" t="str">
        <f t="shared" si="16"/>
        <v>OK!</v>
      </c>
    </row>
    <row r="136" spans="2:20" ht="16.5" x14ac:dyDescent="0.3">
      <c r="B136" s="129" t="s">
        <v>2697</v>
      </c>
      <c r="C136" s="128">
        <f>17.15-0.64</f>
        <v>16.509999999999998</v>
      </c>
      <c r="D136" s="128">
        <f>16.57*2</f>
        <v>33.14</v>
      </c>
      <c r="E136" s="128"/>
      <c r="F136" s="148" t="s">
        <v>2916</v>
      </c>
      <c r="G136" s="128">
        <f t="shared" si="17"/>
        <v>16.509999999999998</v>
      </c>
      <c r="H136" s="128"/>
      <c r="I136" s="128" t="str">
        <f t="shared" si="18"/>
        <v/>
      </c>
      <c r="J136" s="128"/>
      <c r="K136" s="128" t="str">
        <f t="shared" si="19"/>
        <v/>
      </c>
      <c r="L136" s="128"/>
      <c r="M136" s="128" t="str">
        <f t="shared" si="20"/>
        <v/>
      </c>
      <c r="N136" s="148"/>
      <c r="O136" s="128" t="str">
        <f t="shared" si="21"/>
        <v/>
      </c>
      <c r="P136" s="148"/>
      <c r="Q136" s="128" t="str">
        <f t="shared" si="22"/>
        <v/>
      </c>
      <c r="R136" s="148"/>
      <c r="S136" s="128" t="str">
        <f t="shared" si="23"/>
        <v/>
      </c>
      <c r="T136" s="47" t="str">
        <f t="shared" si="16"/>
        <v>OK!</v>
      </c>
    </row>
    <row r="137" spans="2:20" ht="16.5" x14ac:dyDescent="0.3">
      <c r="B137" s="129" t="s">
        <v>2698</v>
      </c>
      <c r="C137" s="128">
        <v>17.079999999999998</v>
      </c>
      <c r="D137" s="128">
        <v>17.670000000000002</v>
      </c>
      <c r="E137" s="128"/>
      <c r="F137" s="148" t="s">
        <v>2916</v>
      </c>
      <c r="G137" s="128">
        <f t="shared" si="17"/>
        <v>17.079999999999998</v>
      </c>
      <c r="H137" s="128"/>
      <c r="I137" s="128" t="str">
        <f t="shared" si="18"/>
        <v/>
      </c>
      <c r="J137" s="128"/>
      <c r="K137" s="128" t="str">
        <f t="shared" si="19"/>
        <v/>
      </c>
      <c r="L137" s="128"/>
      <c r="M137" s="128" t="str">
        <f t="shared" si="20"/>
        <v/>
      </c>
      <c r="N137" s="148"/>
      <c r="O137" s="128" t="str">
        <f t="shared" si="21"/>
        <v/>
      </c>
      <c r="P137" s="148"/>
      <c r="Q137" s="128" t="str">
        <f t="shared" si="22"/>
        <v/>
      </c>
      <c r="R137" s="148"/>
      <c r="S137" s="128" t="str">
        <f t="shared" si="23"/>
        <v/>
      </c>
      <c r="T137" s="47" t="str">
        <f t="shared" si="16"/>
        <v>OK!</v>
      </c>
    </row>
    <row r="138" spans="2:20" ht="16.5" x14ac:dyDescent="0.3">
      <c r="B138" s="129" t="s">
        <v>2591</v>
      </c>
      <c r="C138" s="128">
        <v>2</v>
      </c>
      <c r="D138" s="128">
        <v>6</v>
      </c>
      <c r="E138" s="128"/>
      <c r="F138" s="148" t="s">
        <v>2916</v>
      </c>
      <c r="G138" s="128">
        <f t="shared" si="17"/>
        <v>2</v>
      </c>
      <c r="H138" s="128"/>
      <c r="I138" s="128" t="str">
        <f t="shared" si="18"/>
        <v/>
      </c>
      <c r="J138" s="128"/>
      <c r="K138" s="128" t="str">
        <f t="shared" si="19"/>
        <v/>
      </c>
      <c r="L138" s="128"/>
      <c r="M138" s="128" t="str">
        <f t="shared" si="20"/>
        <v/>
      </c>
      <c r="N138" s="148"/>
      <c r="O138" s="128" t="str">
        <f t="shared" si="21"/>
        <v/>
      </c>
      <c r="P138" s="148"/>
      <c r="Q138" s="128" t="str">
        <f t="shared" si="22"/>
        <v/>
      </c>
      <c r="R138" s="148"/>
      <c r="S138" s="128" t="str">
        <f t="shared" si="23"/>
        <v/>
      </c>
      <c r="T138" s="47" t="str">
        <f t="shared" si="16"/>
        <v>OK!</v>
      </c>
    </row>
    <row r="139" spans="2:20" ht="16.5" x14ac:dyDescent="0.3">
      <c r="B139" s="129" t="s">
        <v>2699</v>
      </c>
      <c r="C139" s="128">
        <v>15.4</v>
      </c>
      <c r="D139" s="128">
        <v>18.7</v>
      </c>
      <c r="E139" s="128"/>
      <c r="F139" s="148" t="s">
        <v>2916</v>
      </c>
      <c r="G139" s="128">
        <f t="shared" si="17"/>
        <v>15.4</v>
      </c>
      <c r="H139" s="128"/>
      <c r="I139" s="128" t="str">
        <f t="shared" si="18"/>
        <v/>
      </c>
      <c r="J139" s="128"/>
      <c r="K139" s="128" t="str">
        <f t="shared" si="19"/>
        <v/>
      </c>
      <c r="L139" s="128"/>
      <c r="M139" s="128" t="str">
        <f t="shared" si="20"/>
        <v/>
      </c>
      <c r="N139" s="148"/>
      <c r="O139" s="128" t="str">
        <f t="shared" si="21"/>
        <v/>
      </c>
      <c r="P139" s="148"/>
      <c r="Q139" s="128" t="str">
        <f t="shared" si="22"/>
        <v/>
      </c>
      <c r="R139" s="148"/>
      <c r="S139" s="128" t="str">
        <f t="shared" si="23"/>
        <v/>
      </c>
      <c r="T139" s="47" t="str">
        <f t="shared" si="16"/>
        <v>OK!</v>
      </c>
    </row>
    <row r="140" spans="2:20" ht="16.5" x14ac:dyDescent="0.3">
      <c r="B140" s="129" t="s">
        <v>2700</v>
      </c>
      <c r="C140" s="128">
        <v>2.64</v>
      </c>
      <c r="D140" s="128">
        <v>6.8</v>
      </c>
      <c r="E140" s="128"/>
      <c r="F140" s="148" t="s">
        <v>2916</v>
      </c>
      <c r="G140" s="128">
        <f t="shared" si="17"/>
        <v>2.64</v>
      </c>
      <c r="H140" s="128"/>
      <c r="I140" s="128" t="str">
        <f t="shared" si="18"/>
        <v/>
      </c>
      <c r="J140" s="128"/>
      <c r="K140" s="128" t="str">
        <f t="shared" si="19"/>
        <v/>
      </c>
      <c r="L140" s="128"/>
      <c r="M140" s="128" t="str">
        <f t="shared" si="20"/>
        <v/>
      </c>
      <c r="N140" s="148"/>
      <c r="O140" s="128" t="str">
        <f t="shared" si="21"/>
        <v/>
      </c>
      <c r="P140" s="148"/>
      <c r="Q140" s="128" t="str">
        <f t="shared" si="22"/>
        <v/>
      </c>
      <c r="R140" s="148"/>
      <c r="S140" s="128" t="str">
        <f t="shared" si="23"/>
        <v/>
      </c>
      <c r="T140" s="47" t="str">
        <f t="shared" si="16"/>
        <v>OK!</v>
      </c>
    </row>
    <row r="141" spans="2:20" ht="16.5" x14ac:dyDescent="0.3">
      <c r="B141" s="129" t="s">
        <v>2701</v>
      </c>
      <c r="C141" s="128">
        <v>2.64</v>
      </c>
      <c r="D141" s="128">
        <v>6.8</v>
      </c>
      <c r="E141" s="128"/>
      <c r="F141" s="148" t="s">
        <v>2916</v>
      </c>
      <c r="G141" s="128">
        <f t="shared" si="17"/>
        <v>2.64</v>
      </c>
      <c r="H141" s="128"/>
      <c r="I141" s="128" t="str">
        <f t="shared" si="18"/>
        <v/>
      </c>
      <c r="J141" s="128"/>
      <c r="K141" s="128" t="str">
        <f t="shared" si="19"/>
        <v/>
      </c>
      <c r="L141" s="128"/>
      <c r="M141" s="128" t="str">
        <f t="shared" si="20"/>
        <v/>
      </c>
      <c r="N141" s="148"/>
      <c r="O141" s="128" t="str">
        <f t="shared" si="21"/>
        <v/>
      </c>
      <c r="P141" s="148"/>
      <c r="Q141" s="128" t="str">
        <f t="shared" si="22"/>
        <v/>
      </c>
      <c r="R141" s="148"/>
      <c r="S141" s="128" t="str">
        <f t="shared" si="23"/>
        <v/>
      </c>
      <c r="T141" s="47" t="str">
        <f t="shared" si="16"/>
        <v>OK!</v>
      </c>
    </row>
    <row r="142" spans="2:20" ht="16.5" x14ac:dyDescent="0.3">
      <c r="B142" s="129" t="s">
        <v>2702</v>
      </c>
      <c r="C142" s="128">
        <v>5.76</v>
      </c>
      <c r="D142" s="128">
        <v>11.9</v>
      </c>
      <c r="E142" s="128"/>
      <c r="F142" s="148" t="s">
        <v>2916</v>
      </c>
      <c r="G142" s="128">
        <f t="shared" si="17"/>
        <v>5.76</v>
      </c>
      <c r="H142" s="128"/>
      <c r="I142" s="128" t="str">
        <f t="shared" si="18"/>
        <v/>
      </c>
      <c r="J142" s="128"/>
      <c r="K142" s="128" t="str">
        <f t="shared" si="19"/>
        <v/>
      </c>
      <c r="L142" s="128"/>
      <c r="M142" s="128" t="str">
        <f t="shared" si="20"/>
        <v/>
      </c>
      <c r="N142" s="148"/>
      <c r="O142" s="128" t="str">
        <f t="shared" si="21"/>
        <v/>
      </c>
      <c r="P142" s="148"/>
      <c r="Q142" s="128" t="str">
        <f t="shared" si="22"/>
        <v/>
      </c>
      <c r="R142" s="148"/>
      <c r="S142" s="128" t="str">
        <f t="shared" si="23"/>
        <v/>
      </c>
      <c r="T142" s="47" t="str">
        <f t="shared" si="16"/>
        <v>OK!</v>
      </c>
    </row>
    <row r="143" spans="2:20" ht="16.5" x14ac:dyDescent="0.3">
      <c r="B143" s="129" t="s">
        <v>2703</v>
      </c>
      <c r="C143" s="128">
        <v>3.4</v>
      </c>
      <c r="D143" s="128">
        <v>7.4</v>
      </c>
      <c r="E143" s="128"/>
      <c r="F143" s="148" t="s">
        <v>2916</v>
      </c>
      <c r="G143" s="128">
        <f t="shared" si="17"/>
        <v>3.4</v>
      </c>
      <c r="H143" s="128"/>
      <c r="I143" s="128" t="str">
        <f t="shared" si="18"/>
        <v/>
      </c>
      <c r="J143" s="128"/>
      <c r="K143" s="128" t="str">
        <f t="shared" si="19"/>
        <v/>
      </c>
      <c r="L143" s="128"/>
      <c r="M143" s="128" t="str">
        <f t="shared" si="20"/>
        <v/>
      </c>
      <c r="N143" s="148"/>
      <c r="O143" s="128" t="str">
        <f t="shared" si="21"/>
        <v/>
      </c>
      <c r="P143" s="148"/>
      <c r="Q143" s="128" t="str">
        <f t="shared" si="22"/>
        <v/>
      </c>
      <c r="R143" s="148"/>
      <c r="S143" s="128" t="str">
        <f t="shared" si="23"/>
        <v/>
      </c>
      <c r="T143" s="47" t="str">
        <f t="shared" si="16"/>
        <v>OK!</v>
      </c>
    </row>
    <row r="144" spans="2:20" ht="16.5" x14ac:dyDescent="0.3">
      <c r="B144" s="129" t="s">
        <v>2704</v>
      </c>
      <c r="C144" s="128">
        <v>3.4</v>
      </c>
      <c r="D144" s="128">
        <v>7.4</v>
      </c>
      <c r="E144" s="128"/>
      <c r="F144" s="148" t="s">
        <v>2916</v>
      </c>
      <c r="G144" s="128">
        <f t="shared" si="17"/>
        <v>3.4</v>
      </c>
      <c r="H144" s="128"/>
      <c r="I144" s="128" t="str">
        <f t="shared" si="18"/>
        <v/>
      </c>
      <c r="J144" s="128"/>
      <c r="K144" s="128" t="str">
        <f t="shared" si="19"/>
        <v/>
      </c>
      <c r="L144" s="128"/>
      <c r="M144" s="128" t="str">
        <f t="shared" si="20"/>
        <v/>
      </c>
      <c r="N144" s="148"/>
      <c r="O144" s="128" t="str">
        <f t="shared" si="21"/>
        <v/>
      </c>
      <c r="P144" s="148"/>
      <c r="Q144" s="128" t="str">
        <f t="shared" si="22"/>
        <v/>
      </c>
      <c r="R144" s="148"/>
      <c r="S144" s="128" t="str">
        <f t="shared" si="23"/>
        <v/>
      </c>
      <c r="T144" s="47" t="str">
        <f t="shared" si="16"/>
        <v>OK!</v>
      </c>
    </row>
    <row r="145" spans="2:20" ht="16.5" x14ac:dyDescent="0.3">
      <c r="B145" s="129" t="s">
        <v>2594</v>
      </c>
      <c r="C145" s="128">
        <v>9.56</v>
      </c>
      <c r="D145" s="128">
        <v>13.35</v>
      </c>
      <c r="E145" s="128"/>
      <c r="F145" s="148" t="s">
        <v>2916</v>
      </c>
      <c r="G145" s="128">
        <f t="shared" si="17"/>
        <v>9.56</v>
      </c>
      <c r="H145" s="128"/>
      <c r="I145" s="128" t="str">
        <f t="shared" si="18"/>
        <v/>
      </c>
      <c r="J145" s="128"/>
      <c r="K145" s="128" t="str">
        <f t="shared" si="19"/>
        <v/>
      </c>
      <c r="L145" s="128"/>
      <c r="M145" s="128" t="str">
        <f t="shared" si="20"/>
        <v/>
      </c>
      <c r="N145" s="148"/>
      <c r="O145" s="128" t="str">
        <f t="shared" si="21"/>
        <v/>
      </c>
      <c r="P145" s="148"/>
      <c r="Q145" s="128" t="str">
        <f t="shared" si="22"/>
        <v/>
      </c>
      <c r="R145" s="148"/>
      <c r="S145" s="128" t="str">
        <f t="shared" si="23"/>
        <v/>
      </c>
      <c r="T145" s="47" t="str">
        <f t="shared" si="16"/>
        <v>OK!</v>
      </c>
    </row>
    <row r="146" spans="2:20" ht="16.5" x14ac:dyDescent="0.3">
      <c r="B146" s="129" t="s">
        <v>2705</v>
      </c>
      <c r="C146" s="128">
        <v>8.74</v>
      </c>
      <c r="D146" s="128">
        <v>12.4</v>
      </c>
      <c r="E146" s="128"/>
      <c r="F146" s="148" t="s">
        <v>2916</v>
      </c>
      <c r="G146" s="128">
        <f t="shared" si="17"/>
        <v>8.74</v>
      </c>
      <c r="H146" s="128"/>
      <c r="I146" s="128" t="str">
        <f t="shared" si="18"/>
        <v/>
      </c>
      <c r="J146" s="128"/>
      <c r="K146" s="128" t="str">
        <f t="shared" si="19"/>
        <v/>
      </c>
      <c r="L146" s="128"/>
      <c r="M146" s="128" t="str">
        <f t="shared" si="20"/>
        <v/>
      </c>
      <c r="N146" s="148"/>
      <c r="O146" s="128" t="str">
        <f t="shared" si="21"/>
        <v/>
      </c>
      <c r="P146" s="148"/>
      <c r="Q146" s="128" t="str">
        <f t="shared" si="22"/>
        <v/>
      </c>
      <c r="R146" s="148"/>
      <c r="S146" s="128" t="str">
        <f t="shared" si="23"/>
        <v/>
      </c>
      <c r="T146" s="47" t="str">
        <f t="shared" si="16"/>
        <v>OK!</v>
      </c>
    </row>
    <row r="147" spans="2:20" ht="16.5" x14ac:dyDescent="0.3">
      <c r="B147" s="129" t="s">
        <v>2706</v>
      </c>
      <c r="C147" s="128">
        <v>8.8000000000000007</v>
      </c>
      <c r="D147" s="128">
        <v>12.4</v>
      </c>
      <c r="E147" s="128"/>
      <c r="F147" s="148" t="s">
        <v>2916</v>
      </c>
      <c r="G147" s="128">
        <f t="shared" si="17"/>
        <v>8.8000000000000007</v>
      </c>
      <c r="H147" s="128"/>
      <c r="I147" s="128" t="str">
        <f t="shared" si="18"/>
        <v/>
      </c>
      <c r="J147" s="128"/>
      <c r="K147" s="128" t="str">
        <f t="shared" si="19"/>
        <v/>
      </c>
      <c r="L147" s="128"/>
      <c r="M147" s="128" t="str">
        <f t="shared" si="20"/>
        <v/>
      </c>
      <c r="N147" s="148"/>
      <c r="O147" s="128" t="str">
        <f t="shared" si="21"/>
        <v/>
      </c>
      <c r="P147" s="148"/>
      <c r="Q147" s="128" t="str">
        <f t="shared" si="22"/>
        <v/>
      </c>
      <c r="R147" s="148"/>
      <c r="S147" s="128" t="str">
        <f t="shared" si="23"/>
        <v/>
      </c>
      <c r="T147" s="47" t="str">
        <f t="shared" si="16"/>
        <v>OK!</v>
      </c>
    </row>
    <row r="148" spans="2:20" ht="16.5" x14ac:dyDescent="0.3">
      <c r="B148" s="129" t="s">
        <v>2591</v>
      </c>
      <c r="C148" s="128">
        <v>2.16</v>
      </c>
      <c r="D148" s="128">
        <v>6.45</v>
      </c>
      <c r="E148" s="128"/>
      <c r="F148" s="148" t="s">
        <v>2916</v>
      </c>
      <c r="G148" s="128">
        <f t="shared" si="17"/>
        <v>2.16</v>
      </c>
      <c r="H148" s="128"/>
      <c r="I148" s="128" t="str">
        <f t="shared" si="18"/>
        <v/>
      </c>
      <c r="J148" s="128"/>
      <c r="K148" s="128" t="str">
        <f t="shared" si="19"/>
        <v/>
      </c>
      <c r="L148" s="128"/>
      <c r="M148" s="128" t="str">
        <f t="shared" si="20"/>
        <v/>
      </c>
      <c r="N148" s="148"/>
      <c r="O148" s="128" t="str">
        <f t="shared" si="21"/>
        <v/>
      </c>
      <c r="P148" s="148"/>
      <c r="Q148" s="128" t="str">
        <f t="shared" si="22"/>
        <v/>
      </c>
      <c r="R148" s="148"/>
      <c r="S148" s="128" t="str">
        <f t="shared" si="23"/>
        <v/>
      </c>
      <c r="T148" s="47" t="str">
        <f t="shared" si="16"/>
        <v>OK!</v>
      </c>
    </row>
    <row r="149" spans="2:20" ht="16.5" x14ac:dyDescent="0.3">
      <c r="B149" s="129" t="s">
        <v>2707</v>
      </c>
      <c r="C149" s="128">
        <v>19.78</v>
      </c>
      <c r="D149" s="128">
        <v>19.36</v>
      </c>
      <c r="E149" s="128">
        <v>2.4</v>
      </c>
      <c r="F149" s="148" t="s">
        <v>2916</v>
      </c>
      <c r="G149" s="128">
        <f t="shared" si="17"/>
        <v>19.78</v>
      </c>
      <c r="H149" s="128"/>
      <c r="I149" s="128" t="str">
        <f t="shared" si="18"/>
        <v/>
      </c>
      <c r="J149" s="128"/>
      <c r="K149" s="128" t="str">
        <f t="shared" si="19"/>
        <v/>
      </c>
      <c r="L149" s="128"/>
      <c r="M149" s="128" t="str">
        <f t="shared" si="20"/>
        <v/>
      </c>
      <c r="N149" s="148"/>
      <c r="O149" s="128" t="str">
        <f t="shared" si="21"/>
        <v/>
      </c>
      <c r="P149" s="148"/>
      <c r="Q149" s="128" t="str">
        <f t="shared" si="22"/>
        <v/>
      </c>
      <c r="R149" s="148"/>
      <c r="S149" s="128" t="str">
        <f t="shared" si="23"/>
        <v/>
      </c>
      <c r="T149" s="47" t="str">
        <f t="shared" si="16"/>
        <v>OK!</v>
      </c>
    </row>
    <row r="150" spans="2:20" ht="16.5" x14ac:dyDescent="0.3">
      <c r="B150" s="129" t="s">
        <v>2708</v>
      </c>
      <c r="C150" s="128">
        <v>39.89</v>
      </c>
      <c r="D150" s="128">
        <v>25.29</v>
      </c>
      <c r="E150" s="128">
        <v>4.45</v>
      </c>
      <c r="F150" s="148" t="s">
        <v>2916</v>
      </c>
      <c r="G150" s="128">
        <f t="shared" si="17"/>
        <v>39.89</v>
      </c>
      <c r="H150" s="128"/>
      <c r="I150" s="128" t="str">
        <f t="shared" si="18"/>
        <v/>
      </c>
      <c r="J150" s="128"/>
      <c r="K150" s="128" t="str">
        <f t="shared" si="19"/>
        <v/>
      </c>
      <c r="L150" s="128"/>
      <c r="M150" s="128" t="str">
        <f t="shared" si="20"/>
        <v/>
      </c>
      <c r="N150" s="148"/>
      <c r="O150" s="128" t="str">
        <f t="shared" si="21"/>
        <v/>
      </c>
      <c r="P150" s="148"/>
      <c r="Q150" s="128" t="str">
        <f t="shared" si="22"/>
        <v/>
      </c>
      <c r="R150" s="148"/>
      <c r="S150" s="128" t="str">
        <f t="shared" si="23"/>
        <v/>
      </c>
      <c r="T150" s="47" t="str">
        <f t="shared" si="16"/>
        <v>OK!</v>
      </c>
    </row>
    <row r="151" spans="2:20" ht="16.5" x14ac:dyDescent="0.3">
      <c r="B151" s="129" t="s">
        <v>2709</v>
      </c>
      <c r="C151" s="128">
        <v>27.24</v>
      </c>
      <c r="D151" s="128">
        <v>28</v>
      </c>
      <c r="E151" s="128">
        <v>2.4</v>
      </c>
      <c r="F151" s="148" t="s">
        <v>2916</v>
      </c>
      <c r="G151" s="128">
        <f t="shared" si="17"/>
        <v>27.24</v>
      </c>
      <c r="H151" s="128"/>
      <c r="I151" s="128" t="str">
        <f t="shared" si="18"/>
        <v/>
      </c>
      <c r="J151" s="128"/>
      <c r="K151" s="128" t="str">
        <f t="shared" si="19"/>
        <v/>
      </c>
      <c r="L151" s="128"/>
      <c r="M151" s="128" t="str">
        <f t="shared" si="20"/>
        <v/>
      </c>
      <c r="N151" s="148"/>
      <c r="O151" s="128" t="str">
        <f t="shared" si="21"/>
        <v/>
      </c>
      <c r="P151" s="148"/>
      <c r="Q151" s="128" t="str">
        <f t="shared" si="22"/>
        <v/>
      </c>
      <c r="R151" s="148"/>
      <c r="S151" s="128" t="str">
        <f t="shared" si="23"/>
        <v/>
      </c>
      <c r="T151" s="47" t="str">
        <f t="shared" si="16"/>
        <v>OK!</v>
      </c>
    </row>
    <row r="152" spans="2:20" ht="16.5" x14ac:dyDescent="0.3">
      <c r="B152" s="129" t="s">
        <v>2710</v>
      </c>
      <c r="C152" s="128">
        <v>28.26</v>
      </c>
      <c r="D152" s="128">
        <v>25.52</v>
      </c>
      <c r="E152" s="128"/>
      <c r="F152" s="148"/>
      <c r="G152" s="128" t="str">
        <f t="shared" si="17"/>
        <v/>
      </c>
      <c r="H152" s="128"/>
      <c r="I152" s="163" t="s">
        <v>2917</v>
      </c>
      <c r="J152" s="128"/>
      <c r="K152" s="128" t="str">
        <f t="shared" si="19"/>
        <v/>
      </c>
      <c r="L152" s="128"/>
      <c r="M152" s="128" t="str">
        <f t="shared" si="20"/>
        <v/>
      </c>
      <c r="N152" s="148"/>
      <c r="O152" s="128" t="str">
        <f t="shared" si="21"/>
        <v/>
      </c>
      <c r="P152" s="148"/>
      <c r="Q152" s="128" t="str">
        <f t="shared" si="22"/>
        <v/>
      </c>
      <c r="R152" s="148"/>
      <c r="S152" s="128" t="str">
        <f t="shared" si="23"/>
        <v/>
      </c>
      <c r="T152" s="47" t="str">
        <f t="shared" si="16"/>
        <v>OK!</v>
      </c>
    </row>
    <row r="153" spans="2:20" ht="16.5" x14ac:dyDescent="0.3">
      <c r="B153" s="129" t="s">
        <v>2711</v>
      </c>
      <c r="C153" s="128">
        <v>45.45</v>
      </c>
      <c r="D153" s="128">
        <v>30.77</v>
      </c>
      <c r="E153" s="128"/>
      <c r="F153" s="148" t="s">
        <v>2916</v>
      </c>
      <c r="G153" s="128">
        <f t="shared" si="17"/>
        <v>45.45</v>
      </c>
      <c r="H153" s="128"/>
      <c r="I153" s="128" t="str">
        <f t="shared" si="18"/>
        <v/>
      </c>
      <c r="J153" s="128"/>
      <c r="K153" s="128" t="str">
        <f t="shared" si="19"/>
        <v/>
      </c>
      <c r="L153" s="128"/>
      <c r="M153" s="128" t="str">
        <f t="shared" si="20"/>
        <v/>
      </c>
      <c r="N153" s="148"/>
      <c r="O153" s="128" t="str">
        <f t="shared" si="21"/>
        <v/>
      </c>
      <c r="P153" s="148"/>
      <c r="Q153" s="128" t="str">
        <f t="shared" si="22"/>
        <v/>
      </c>
      <c r="R153" s="148"/>
      <c r="S153" s="128" t="str">
        <f t="shared" si="23"/>
        <v/>
      </c>
      <c r="T153" s="47" t="str">
        <f t="shared" si="16"/>
        <v>OK!</v>
      </c>
    </row>
    <row r="154" spans="2:20" ht="16.5" x14ac:dyDescent="0.3">
      <c r="B154" s="129" t="s">
        <v>2697</v>
      </c>
      <c r="C154" s="128">
        <v>7.79</v>
      </c>
      <c r="D154" s="128">
        <v>11.7</v>
      </c>
      <c r="E154" s="128"/>
      <c r="F154" s="148" t="s">
        <v>2916</v>
      </c>
      <c r="G154" s="128">
        <f t="shared" si="17"/>
        <v>7.79</v>
      </c>
      <c r="H154" s="128"/>
      <c r="I154" s="128" t="str">
        <f t="shared" si="18"/>
        <v/>
      </c>
      <c r="J154" s="128"/>
      <c r="K154" s="128" t="str">
        <f t="shared" si="19"/>
        <v/>
      </c>
      <c r="L154" s="128"/>
      <c r="M154" s="128" t="str">
        <f t="shared" si="20"/>
        <v/>
      </c>
      <c r="N154" s="148"/>
      <c r="O154" s="128" t="str">
        <f t="shared" si="21"/>
        <v/>
      </c>
      <c r="P154" s="148"/>
      <c r="Q154" s="128" t="str">
        <f t="shared" si="22"/>
        <v/>
      </c>
      <c r="R154" s="148"/>
      <c r="S154" s="128" t="str">
        <f t="shared" si="23"/>
        <v/>
      </c>
      <c r="T154" s="47" t="str">
        <f t="shared" si="16"/>
        <v>OK!</v>
      </c>
    </row>
    <row r="155" spans="2:20" ht="16.5" x14ac:dyDescent="0.3">
      <c r="B155" s="129" t="s">
        <v>2591</v>
      </c>
      <c r="C155" s="128">
        <v>2.0499999999999998</v>
      </c>
      <c r="D155" s="128">
        <v>6.1</v>
      </c>
      <c r="E155" s="128"/>
      <c r="F155" s="148" t="s">
        <v>2916</v>
      </c>
      <c r="G155" s="128">
        <f t="shared" si="17"/>
        <v>2.0499999999999998</v>
      </c>
      <c r="H155" s="128"/>
      <c r="I155" s="128" t="str">
        <f t="shared" si="18"/>
        <v/>
      </c>
      <c r="J155" s="128"/>
      <c r="K155" s="128" t="str">
        <f t="shared" si="19"/>
        <v/>
      </c>
      <c r="L155" s="128"/>
      <c r="M155" s="128" t="str">
        <f t="shared" si="20"/>
        <v/>
      </c>
      <c r="N155" s="148"/>
      <c r="O155" s="128" t="str">
        <f t="shared" si="21"/>
        <v/>
      </c>
      <c r="P155" s="148"/>
      <c r="Q155" s="128" t="str">
        <f t="shared" si="22"/>
        <v/>
      </c>
      <c r="R155" s="148"/>
      <c r="S155" s="128" t="str">
        <f t="shared" si="23"/>
        <v/>
      </c>
      <c r="T155" s="47" t="str">
        <f t="shared" si="16"/>
        <v>OK!</v>
      </c>
    </row>
    <row r="156" spans="2:20" ht="16.5" x14ac:dyDescent="0.3">
      <c r="B156" s="129" t="s">
        <v>2712</v>
      </c>
      <c r="C156" s="128">
        <v>5.94</v>
      </c>
      <c r="D156" s="128">
        <v>10.199999999999999</v>
      </c>
      <c r="E156" s="128"/>
      <c r="F156" s="148" t="s">
        <v>2916</v>
      </c>
      <c r="G156" s="128">
        <f t="shared" si="17"/>
        <v>5.94</v>
      </c>
      <c r="H156" s="128"/>
      <c r="I156" s="128" t="str">
        <f t="shared" si="18"/>
        <v/>
      </c>
      <c r="J156" s="128"/>
      <c r="K156" s="128" t="str">
        <f t="shared" si="19"/>
        <v/>
      </c>
      <c r="L156" s="128"/>
      <c r="M156" s="128" t="str">
        <f t="shared" si="20"/>
        <v/>
      </c>
      <c r="N156" s="148"/>
      <c r="O156" s="128" t="str">
        <f t="shared" si="21"/>
        <v/>
      </c>
      <c r="P156" s="148"/>
      <c r="Q156" s="128" t="str">
        <f t="shared" si="22"/>
        <v/>
      </c>
      <c r="R156" s="148"/>
      <c r="S156" s="128" t="str">
        <f t="shared" si="23"/>
        <v/>
      </c>
      <c r="T156" s="47" t="str">
        <f t="shared" si="16"/>
        <v>OK!</v>
      </c>
    </row>
    <row r="157" spans="2:20" ht="16.5" x14ac:dyDescent="0.3">
      <c r="B157" s="129" t="s">
        <v>2611</v>
      </c>
      <c r="C157" s="128">
        <v>2.0699999999999998</v>
      </c>
      <c r="D157" s="128">
        <v>5.9</v>
      </c>
      <c r="E157" s="128"/>
      <c r="F157" s="148" t="s">
        <v>2916</v>
      </c>
      <c r="G157" s="128">
        <f t="shared" si="17"/>
        <v>2.0699999999999998</v>
      </c>
      <c r="H157" s="128"/>
      <c r="I157" s="128" t="str">
        <f t="shared" si="18"/>
        <v/>
      </c>
      <c r="J157" s="128"/>
      <c r="K157" s="128" t="str">
        <f t="shared" si="19"/>
        <v/>
      </c>
      <c r="L157" s="128"/>
      <c r="M157" s="128" t="str">
        <f t="shared" si="20"/>
        <v/>
      </c>
      <c r="N157" s="148"/>
      <c r="O157" s="128" t="str">
        <f t="shared" si="21"/>
        <v/>
      </c>
      <c r="P157" s="148"/>
      <c r="Q157" s="128" t="str">
        <f t="shared" si="22"/>
        <v/>
      </c>
      <c r="R157" s="148"/>
      <c r="S157" s="128" t="str">
        <f t="shared" si="23"/>
        <v/>
      </c>
      <c r="T157" s="47" t="str">
        <f t="shared" si="16"/>
        <v>OK!</v>
      </c>
    </row>
    <row r="158" spans="2:20" ht="16.5" x14ac:dyDescent="0.3">
      <c r="B158" s="129" t="s">
        <v>2713</v>
      </c>
      <c r="C158" s="128">
        <v>6.89</v>
      </c>
      <c r="D158" s="128">
        <v>12.2</v>
      </c>
      <c r="E158" s="128"/>
      <c r="F158" s="148" t="s">
        <v>2916</v>
      </c>
      <c r="G158" s="128">
        <f t="shared" si="17"/>
        <v>6.89</v>
      </c>
      <c r="H158" s="128"/>
      <c r="I158" s="128" t="str">
        <f t="shared" si="18"/>
        <v/>
      </c>
      <c r="J158" s="128"/>
      <c r="K158" s="128" t="str">
        <f t="shared" si="19"/>
        <v/>
      </c>
      <c r="L158" s="128"/>
      <c r="M158" s="128" t="str">
        <f t="shared" si="20"/>
        <v/>
      </c>
      <c r="N158" s="148"/>
      <c r="O158" s="128" t="str">
        <f t="shared" si="21"/>
        <v/>
      </c>
      <c r="P158" s="148"/>
      <c r="Q158" s="128" t="str">
        <f t="shared" si="22"/>
        <v/>
      </c>
      <c r="R158" s="148"/>
      <c r="S158" s="128" t="str">
        <f t="shared" si="23"/>
        <v/>
      </c>
      <c r="T158" s="47" t="str">
        <f t="shared" si="16"/>
        <v>OK!</v>
      </c>
    </row>
    <row r="159" spans="2:20" ht="16.5" x14ac:dyDescent="0.3">
      <c r="B159" s="129" t="s">
        <v>2714</v>
      </c>
      <c r="C159" s="128">
        <v>8.73</v>
      </c>
      <c r="D159" s="128">
        <v>13.6</v>
      </c>
      <c r="E159" s="128"/>
      <c r="F159" s="148" t="s">
        <v>2916</v>
      </c>
      <c r="G159" s="128">
        <f t="shared" si="17"/>
        <v>8.73</v>
      </c>
      <c r="H159" s="128"/>
      <c r="I159" s="128" t="str">
        <f t="shared" si="18"/>
        <v/>
      </c>
      <c r="J159" s="128"/>
      <c r="K159" s="128" t="str">
        <f t="shared" si="19"/>
        <v/>
      </c>
      <c r="L159" s="128"/>
      <c r="M159" s="128" t="str">
        <f t="shared" si="20"/>
        <v/>
      </c>
      <c r="N159" s="148"/>
      <c r="O159" s="128" t="str">
        <f t="shared" si="21"/>
        <v/>
      </c>
      <c r="P159" s="148"/>
      <c r="Q159" s="128" t="str">
        <f t="shared" si="22"/>
        <v/>
      </c>
      <c r="R159" s="148"/>
      <c r="S159" s="128" t="str">
        <f t="shared" si="23"/>
        <v/>
      </c>
      <c r="T159" s="47" t="str">
        <f t="shared" si="16"/>
        <v>OK!</v>
      </c>
    </row>
    <row r="160" spans="2:20" ht="16.5" x14ac:dyDescent="0.3">
      <c r="B160" s="129" t="s">
        <v>2715</v>
      </c>
      <c r="C160" s="128">
        <v>8.75</v>
      </c>
      <c r="D160" s="128">
        <v>13.6</v>
      </c>
      <c r="E160" s="128"/>
      <c r="F160" s="148" t="s">
        <v>2916</v>
      </c>
      <c r="G160" s="128">
        <f t="shared" si="17"/>
        <v>8.75</v>
      </c>
      <c r="H160" s="128"/>
      <c r="I160" s="128" t="str">
        <f t="shared" si="18"/>
        <v/>
      </c>
      <c r="J160" s="128"/>
      <c r="K160" s="128" t="str">
        <f t="shared" si="19"/>
        <v/>
      </c>
      <c r="L160" s="128"/>
      <c r="M160" s="128" t="str">
        <f t="shared" si="20"/>
        <v/>
      </c>
      <c r="N160" s="148"/>
      <c r="O160" s="128" t="str">
        <f t="shared" si="21"/>
        <v/>
      </c>
      <c r="P160" s="148"/>
      <c r="Q160" s="128" t="str">
        <f t="shared" si="22"/>
        <v/>
      </c>
      <c r="R160" s="148"/>
      <c r="S160" s="128" t="str">
        <f t="shared" si="23"/>
        <v/>
      </c>
      <c r="T160" s="47" t="str">
        <f t="shared" si="16"/>
        <v>OK!</v>
      </c>
    </row>
    <row r="161" spans="2:20" ht="16.5" x14ac:dyDescent="0.3">
      <c r="B161" s="129" t="s">
        <v>2670</v>
      </c>
      <c r="C161" s="128">
        <v>15.11</v>
      </c>
      <c r="D161" s="128">
        <v>17.77</v>
      </c>
      <c r="E161" s="128"/>
      <c r="F161" s="148" t="s">
        <v>2916</v>
      </c>
      <c r="G161" s="128">
        <f t="shared" si="17"/>
        <v>15.11</v>
      </c>
      <c r="H161" s="128"/>
      <c r="I161" s="128" t="str">
        <f t="shared" si="18"/>
        <v/>
      </c>
      <c r="J161" s="128"/>
      <c r="K161" s="128" t="str">
        <f t="shared" si="19"/>
        <v/>
      </c>
      <c r="L161" s="128"/>
      <c r="M161" s="128" t="str">
        <f t="shared" si="20"/>
        <v/>
      </c>
      <c r="N161" s="148"/>
      <c r="O161" s="128" t="str">
        <f t="shared" si="21"/>
        <v/>
      </c>
      <c r="P161" s="148"/>
      <c r="Q161" s="128" t="str">
        <f t="shared" si="22"/>
        <v/>
      </c>
      <c r="R161" s="148"/>
      <c r="S161" s="128" t="str">
        <f t="shared" si="23"/>
        <v/>
      </c>
      <c r="T161" s="47" t="str">
        <f t="shared" si="16"/>
        <v>OK!</v>
      </c>
    </row>
    <row r="162" spans="2:20" ht="16.5" x14ac:dyDescent="0.3">
      <c r="B162" s="129" t="s">
        <v>2608</v>
      </c>
      <c r="C162" s="128">
        <v>30.8</v>
      </c>
      <c r="D162" s="128">
        <v>29.31</v>
      </c>
      <c r="E162" s="128">
        <v>2.2000000000000002</v>
      </c>
      <c r="F162" s="148" t="s">
        <v>2916</v>
      </c>
      <c r="G162" s="128">
        <f t="shared" si="17"/>
        <v>30.8</v>
      </c>
      <c r="H162" s="128"/>
      <c r="I162" s="128" t="str">
        <f t="shared" si="18"/>
        <v/>
      </c>
      <c r="J162" s="128"/>
      <c r="K162" s="128" t="str">
        <f t="shared" si="19"/>
        <v/>
      </c>
      <c r="L162" s="128"/>
      <c r="M162" s="128" t="str">
        <f t="shared" si="20"/>
        <v/>
      </c>
      <c r="N162" s="148"/>
      <c r="O162" s="128" t="str">
        <f t="shared" si="21"/>
        <v/>
      </c>
      <c r="P162" s="148"/>
      <c r="Q162" s="128" t="str">
        <f t="shared" si="22"/>
        <v/>
      </c>
      <c r="R162" s="148"/>
      <c r="S162" s="128" t="str">
        <f t="shared" si="23"/>
        <v/>
      </c>
      <c r="T162" s="47" t="str">
        <f t="shared" si="16"/>
        <v>OK!</v>
      </c>
    </row>
    <row r="163" spans="2:20" ht="16.5" x14ac:dyDescent="0.3">
      <c r="B163" s="129" t="s">
        <v>2716</v>
      </c>
      <c r="C163" s="128">
        <v>46.82</v>
      </c>
      <c r="D163" s="128">
        <v>28.32</v>
      </c>
      <c r="E163" s="128">
        <f>4.6+2.6+2.2</f>
        <v>9.3999999999999986</v>
      </c>
      <c r="F163" s="148" t="s">
        <v>2916</v>
      </c>
      <c r="G163" s="128">
        <f t="shared" si="17"/>
        <v>46.82</v>
      </c>
      <c r="H163" s="128"/>
      <c r="I163" s="128" t="str">
        <f t="shared" si="18"/>
        <v/>
      </c>
      <c r="J163" s="128"/>
      <c r="K163" s="128" t="str">
        <f t="shared" si="19"/>
        <v/>
      </c>
      <c r="L163" s="128"/>
      <c r="M163" s="128" t="str">
        <f t="shared" si="20"/>
        <v/>
      </c>
      <c r="N163" s="148"/>
      <c r="O163" s="128" t="str">
        <f t="shared" si="21"/>
        <v/>
      </c>
      <c r="P163" s="148"/>
      <c r="Q163" s="128" t="str">
        <f t="shared" si="22"/>
        <v/>
      </c>
      <c r="R163" s="148"/>
      <c r="S163" s="128" t="str">
        <f t="shared" si="23"/>
        <v/>
      </c>
      <c r="T163" s="47" t="str">
        <f t="shared" si="16"/>
        <v>OK!</v>
      </c>
    </row>
    <row r="164" spans="2:20" ht="16.5" x14ac:dyDescent="0.3">
      <c r="B164" s="129" t="s">
        <v>2717</v>
      </c>
      <c r="C164" s="128">
        <v>29.78</v>
      </c>
      <c r="D164" s="128">
        <v>26.89</v>
      </c>
      <c r="E164" s="128"/>
      <c r="F164" s="148" t="s">
        <v>2916</v>
      </c>
      <c r="G164" s="128">
        <f t="shared" si="17"/>
        <v>29.78</v>
      </c>
      <c r="H164" s="128"/>
      <c r="I164" s="128" t="str">
        <f t="shared" si="18"/>
        <v/>
      </c>
      <c r="J164" s="128"/>
      <c r="K164" s="128" t="str">
        <f t="shared" si="19"/>
        <v/>
      </c>
      <c r="L164" s="128"/>
      <c r="M164" s="128" t="str">
        <f t="shared" si="20"/>
        <v/>
      </c>
      <c r="N164" s="148"/>
      <c r="O164" s="128" t="str">
        <f t="shared" si="21"/>
        <v/>
      </c>
      <c r="P164" s="148"/>
      <c r="Q164" s="128" t="str">
        <f t="shared" si="22"/>
        <v/>
      </c>
      <c r="R164" s="148"/>
      <c r="S164" s="128" t="str">
        <f t="shared" si="23"/>
        <v/>
      </c>
      <c r="T164" s="47" t="str">
        <f t="shared" si="16"/>
        <v>OK!</v>
      </c>
    </row>
    <row r="165" spans="2:20" ht="16.5" x14ac:dyDescent="0.3">
      <c r="B165" s="129" t="s">
        <v>2718</v>
      </c>
      <c r="C165" s="128">
        <v>154.55000000000001</v>
      </c>
      <c r="D165" s="128">
        <v>136.66999999999999</v>
      </c>
      <c r="E165" s="128">
        <v>2.25</v>
      </c>
      <c r="F165" s="148"/>
      <c r="G165" s="128" t="str">
        <f t="shared" si="17"/>
        <v/>
      </c>
      <c r="H165" s="128" t="s">
        <v>2916</v>
      </c>
      <c r="I165" s="128">
        <f t="shared" si="18"/>
        <v>154.55000000000001</v>
      </c>
      <c r="J165" s="128"/>
      <c r="K165" s="128" t="str">
        <f t="shared" si="19"/>
        <v/>
      </c>
      <c r="L165" s="128"/>
      <c r="M165" s="128" t="str">
        <f t="shared" si="20"/>
        <v/>
      </c>
      <c r="N165" s="148"/>
      <c r="O165" s="128" t="str">
        <f t="shared" si="21"/>
        <v/>
      </c>
      <c r="P165" s="148"/>
      <c r="Q165" s="128" t="str">
        <f t="shared" si="22"/>
        <v/>
      </c>
      <c r="R165" s="148"/>
      <c r="S165" s="128" t="str">
        <f t="shared" si="23"/>
        <v/>
      </c>
      <c r="T165" s="47" t="str">
        <f t="shared" si="16"/>
        <v>OK!</v>
      </c>
    </row>
    <row r="166" spans="2:20" ht="16.5" x14ac:dyDescent="0.3">
      <c r="B166" s="129" t="s">
        <v>2608</v>
      </c>
      <c r="C166" s="128">
        <v>93.73</v>
      </c>
      <c r="D166" s="128">
        <v>75.180000000000007</v>
      </c>
      <c r="E166" s="128"/>
      <c r="F166" s="148" t="s">
        <v>2916</v>
      </c>
      <c r="G166" s="128">
        <f t="shared" si="17"/>
        <v>93.73</v>
      </c>
      <c r="H166" s="128"/>
      <c r="I166" s="128" t="str">
        <f t="shared" si="18"/>
        <v/>
      </c>
      <c r="J166" s="128"/>
      <c r="K166" s="128" t="str">
        <f t="shared" si="19"/>
        <v/>
      </c>
      <c r="L166" s="128"/>
      <c r="M166" s="128" t="str">
        <f t="shared" si="20"/>
        <v/>
      </c>
      <c r="N166" s="148"/>
      <c r="O166" s="128" t="str">
        <f t="shared" si="21"/>
        <v/>
      </c>
      <c r="P166" s="148"/>
      <c r="Q166" s="128" t="str">
        <f t="shared" si="22"/>
        <v/>
      </c>
      <c r="R166" s="148"/>
      <c r="S166" s="128" t="str">
        <f t="shared" si="23"/>
        <v/>
      </c>
      <c r="T166" s="47" t="str">
        <f t="shared" si="16"/>
        <v>OK!</v>
      </c>
    </row>
    <row r="167" spans="2:20" ht="16.5" x14ac:dyDescent="0.3">
      <c r="B167" s="129" t="s">
        <v>2719</v>
      </c>
      <c r="C167" s="128">
        <v>53.04</v>
      </c>
      <c r="D167" s="128">
        <v>47.55</v>
      </c>
      <c r="E167" s="128"/>
      <c r="F167" s="148" t="s">
        <v>2916</v>
      </c>
      <c r="G167" s="128">
        <f t="shared" si="17"/>
        <v>53.04</v>
      </c>
      <c r="H167" s="128"/>
      <c r="I167" s="128" t="str">
        <f t="shared" si="18"/>
        <v/>
      </c>
      <c r="J167" s="128"/>
      <c r="K167" s="128" t="str">
        <f t="shared" si="19"/>
        <v/>
      </c>
      <c r="L167" s="128"/>
      <c r="M167" s="128" t="str">
        <f t="shared" si="20"/>
        <v/>
      </c>
      <c r="N167" s="148"/>
      <c r="O167" s="128" t="str">
        <f t="shared" si="21"/>
        <v/>
      </c>
      <c r="P167" s="148"/>
      <c r="Q167" s="128" t="str">
        <f t="shared" si="22"/>
        <v/>
      </c>
      <c r="R167" s="148"/>
      <c r="S167" s="128" t="str">
        <f t="shared" si="23"/>
        <v/>
      </c>
      <c r="T167" s="47" t="str">
        <f t="shared" si="16"/>
        <v>OK!</v>
      </c>
    </row>
    <row r="168" spans="2:20" ht="16.5" x14ac:dyDescent="0.3">
      <c r="B168" s="129" t="s">
        <v>2594</v>
      </c>
      <c r="C168" s="128">
        <v>27</v>
      </c>
      <c r="D168" s="128">
        <v>30.39</v>
      </c>
      <c r="E168" s="128">
        <v>1.5</v>
      </c>
      <c r="F168" s="148" t="s">
        <v>2916</v>
      </c>
      <c r="G168" s="128">
        <f t="shared" si="17"/>
        <v>27</v>
      </c>
      <c r="H168" s="128"/>
      <c r="I168" s="128" t="str">
        <f t="shared" si="18"/>
        <v/>
      </c>
      <c r="J168" s="128"/>
      <c r="K168" s="128" t="str">
        <f t="shared" si="19"/>
        <v/>
      </c>
      <c r="L168" s="128"/>
      <c r="M168" s="128" t="str">
        <f t="shared" si="20"/>
        <v/>
      </c>
      <c r="N168" s="148"/>
      <c r="O168" s="128" t="str">
        <f t="shared" si="21"/>
        <v/>
      </c>
      <c r="P168" s="148"/>
      <c r="Q168" s="128" t="str">
        <f t="shared" si="22"/>
        <v/>
      </c>
      <c r="R168" s="148"/>
      <c r="S168" s="128" t="str">
        <f t="shared" si="23"/>
        <v/>
      </c>
      <c r="T168" s="47" t="str">
        <f t="shared" si="16"/>
        <v>OK!</v>
      </c>
    </row>
    <row r="169" spans="2:20" ht="16.5" x14ac:dyDescent="0.3">
      <c r="B169" s="129" t="s">
        <v>2720</v>
      </c>
      <c r="C169" s="128">
        <v>1.73</v>
      </c>
      <c r="D169" s="128">
        <v>5.4</v>
      </c>
      <c r="E169" s="128"/>
      <c r="F169" s="148" t="s">
        <v>2916</v>
      </c>
      <c r="G169" s="128">
        <f t="shared" si="17"/>
        <v>1.73</v>
      </c>
      <c r="H169" s="128"/>
      <c r="I169" s="128" t="str">
        <f t="shared" si="18"/>
        <v/>
      </c>
      <c r="J169" s="128"/>
      <c r="K169" s="128" t="str">
        <f t="shared" si="19"/>
        <v/>
      </c>
      <c r="L169" s="128"/>
      <c r="M169" s="128" t="str">
        <f t="shared" si="20"/>
        <v/>
      </c>
      <c r="N169" s="148"/>
      <c r="O169" s="128" t="str">
        <f t="shared" si="21"/>
        <v/>
      </c>
      <c r="P169" s="148"/>
      <c r="Q169" s="128" t="str">
        <f t="shared" si="22"/>
        <v/>
      </c>
      <c r="R169" s="148"/>
      <c r="S169" s="128" t="str">
        <f t="shared" si="23"/>
        <v/>
      </c>
      <c r="T169" s="47" t="str">
        <f t="shared" si="16"/>
        <v>OK!</v>
      </c>
    </row>
    <row r="170" spans="2:20" ht="16.5" x14ac:dyDescent="0.3">
      <c r="B170" s="129" t="s">
        <v>2721</v>
      </c>
      <c r="C170" s="128">
        <v>1.73</v>
      </c>
      <c r="D170" s="128">
        <v>5.4</v>
      </c>
      <c r="E170" s="128"/>
      <c r="F170" s="148" t="s">
        <v>2916</v>
      </c>
      <c r="G170" s="128">
        <f t="shared" si="17"/>
        <v>1.73</v>
      </c>
      <c r="H170" s="128"/>
      <c r="I170" s="128" t="str">
        <f t="shared" si="18"/>
        <v/>
      </c>
      <c r="J170" s="128"/>
      <c r="K170" s="128" t="str">
        <f t="shared" si="19"/>
        <v/>
      </c>
      <c r="L170" s="128"/>
      <c r="M170" s="128" t="str">
        <f t="shared" si="20"/>
        <v/>
      </c>
      <c r="N170" s="148"/>
      <c r="O170" s="128" t="str">
        <f t="shared" si="21"/>
        <v/>
      </c>
      <c r="P170" s="148"/>
      <c r="Q170" s="128" t="str">
        <f t="shared" si="22"/>
        <v/>
      </c>
      <c r="R170" s="148"/>
      <c r="S170" s="128" t="str">
        <f t="shared" si="23"/>
        <v/>
      </c>
      <c r="T170" s="47" t="str">
        <f t="shared" si="16"/>
        <v>OK!</v>
      </c>
    </row>
    <row r="171" spans="2:20" ht="16.5" x14ac:dyDescent="0.3">
      <c r="B171" s="129" t="s">
        <v>2591</v>
      </c>
      <c r="C171" s="128">
        <v>3.72</v>
      </c>
      <c r="D171" s="128">
        <v>7.81</v>
      </c>
      <c r="E171" s="128"/>
      <c r="F171" s="148" t="s">
        <v>2916</v>
      </c>
      <c r="G171" s="128">
        <f t="shared" si="17"/>
        <v>3.72</v>
      </c>
      <c r="H171" s="128"/>
      <c r="I171" s="128" t="str">
        <f t="shared" si="18"/>
        <v/>
      </c>
      <c r="J171" s="128"/>
      <c r="K171" s="128" t="str">
        <f t="shared" si="19"/>
        <v/>
      </c>
      <c r="L171" s="128"/>
      <c r="M171" s="128" t="str">
        <f t="shared" si="20"/>
        <v/>
      </c>
      <c r="N171" s="148"/>
      <c r="O171" s="128" t="str">
        <f t="shared" si="21"/>
        <v/>
      </c>
      <c r="P171" s="148"/>
      <c r="Q171" s="128" t="str">
        <f t="shared" si="22"/>
        <v/>
      </c>
      <c r="R171" s="148"/>
      <c r="S171" s="128" t="str">
        <f t="shared" si="23"/>
        <v/>
      </c>
      <c r="T171" s="47" t="str">
        <f t="shared" si="16"/>
        <v>OK!</v>
      </c>
    </row>
    <row r="172" spans="2:20" ht="16.5" x14ac:dyDescent="0.3">
      <c r="B172" s="129" t="s">
        <v>2722</v>
      </c>
      <c r="C172" s="128">
        <v>5.41</v>
      </c>
      <c r="D172" s="128">
        <v>10.220000000000001</v>
      </c>
      <c r="E172" s="128">
        <v>1.5</v>
      </c>
      <c r="F172" s="148" t="s">
        <v>2916</v>
      </c>
      <c r="G172" s="128">
        <f t="shared" si="17"/>
        <v>5.41</v>
      </c>
      <c r="H172" s="128"/>
      <c r="I172" s="128" t="str">
        <f t="shared" si="18"/>
        <v/>
      </c>
      <c r="J172" s="128"/>
      <c r="K172" s="128" t="str">
        <f t="shared" si="19"/>
        <v/>
      </c>
      <c r="L172" s="128"/>
      <c r="M172" s="128" t="str">
        <f t="shared" si="20"/>
        <v/>
      </c>
      <c r="N172" s="148"/>
      <c r="O172" s="128" t="str">
        <f t="shared" si="21"/>
        <v/>
      </c>
      <c r="P172" s="148"/>
      <c r="Q172" s="128" t="str">
        <f t="shared" si="22"/>
        <v/>
      </c>
      <c r="R172" s="148"/>
      <c r="S172" s="128" t="str">
        <f t="shared" si="23"/>
        <v/>
      </c>
      <c r="T172" s="47" t="str">
        <f t="shared" si="16"/>
        <v>OK!</v>
      </c>
    </row>
    <row r="173" spans="2:20" ht="16.5" x14ac:dyDescent="0.3">
      <c r="B173" s="129" t="s">
        <v>2723</v>
      </c>
      <c r="C173" s="128">
        <v>3.07</v>
      </c>
      <c r="D173" s="128">
        <v>7.1</v>
      </c>
      <c r="E173" s="128"/>
      <c r="F173" s="148" t="s">
        <v>2916</v>
      </c>
      <c r="G173" s="128">
        <f t="shared" si="17"/>
        <v>3.07</v>
      </c>
      <c r="H173" s="128"/>
      <c r="I173" s="128" t="str">
        <f t="shared" si="18"/>
        <v/>
      </c>
      <c r="J173" s="128"/>
      <c r="K173" s="128" t="str">
        <f t="shared" si="19"/>
        <v/>
      </c>
      <c r="L173" s="128"/>
      <c r="M173" s="128" t="str">
        <f t="shared" si="20"/>
        <v/>
      </c>
      <c r="N173" s="148"/>
      <c r="O173" s="128" t="str">
        <f t="shared" si="21"/>
        <v/>
      </c>
      <c r="P173" s="148"/>
      <c r="Q173" s="128" t="str">
        <f t="shared" si="22"/>
        <v/>
      </c>
      <c r="R173" s="148"/>
      <c r="S173" s="128" t="str">
        <f t="shared" si="23"/>
        <v/>
      </c>
      <c r="T173" s="47" t="str">
        <f t="shared" si="16"/>
        <v>OK!</v>
      </c>
    </row>
    <row r="174" spans="2:20" ht="16.5" x14ac:dyDescent="0.3">
      <c r="B174" s="129" t="s">
        <v>2724</v>
      </c>
      <c r="C174" s="128">
        <v>3</v>
      </c>
      <c r="D174" s="128">
        <v>7.45</v>
      </c>
      <c r="E174" s="128"/>
      <c r="F174" s="148" t="s">
        <v>2916</v>
      </c>
      <c r="G174" s="128">
        <f t="shared" si="17"/>
        <v>3</v>
      </c>
      <c r="H174" s="128"/>
      <c r="I174" s="128" t="str">
        <f t="shared" si="18"/>
        <v/>
      </c>
      <c r="J174" s="128"/>
      <c r="K174" s="128" t="str">
        <f t="shared" si="19"/>
        <v/>
      </c>
      <c r="L174" s="128"/>
      <c r="M174" s="128" t="str">
        <f t="shared" si="20"/>
        <v/>
      </c>
      <c r="N174" s="148"/>
      <c r="O174" s="128" t="str">
        <f t="shared" si="21"/>
        <v/>
      </c>
      <c r="P174" s="148"/>
      <c r="Q174" s="128" t="str">
        <f t="shared" si="22"/>
        <v/>
      </c>
      <c r="R174" s="148"/>
      <c r="S174" s="128" t="str">
        <f t="shared" si="23"/>
        <v/>
      </c>
      <c r="T174" s="47" t="str">
        <f t="shared" si="16"/>
        <v>OK!</v>
      </c>
    </row>
    <row r="175" spans="2:20" ht="16.5" x14ac:dyDescent="0.3">
      <c r="B175" s="136" t="s">
        <v>2641</v>
      </c>
      <c r="C175" s="128"/>
      <c r="D175" s="128"/>
      <c r="E175" s="128"/>
      <c r="F175" s="148"/>
      <c r="G175" s="128"/>
      <c r="H175" s="128"/>
      <c r="I175" s="128" t="str">
        <f t="shared" si="18"/>
        <v/>
      </c>
      <c r="J175" s="128"/>
      <c r="K175" s="128" t="str">
        <f t="shared" si="19"/>
        <v/>
      </c>
      <c r="L175" s="128"/>
      <c r="M175" s="128" t="str">
        <f t="shared" si="20"/>
        <v/>
      </c>
      <c r="N175" s="148"/>
      <c r="O175" s="128" t="str">
        <f t="shared" si="21"/>
        <v/>
      </c>
      <c r="P175" s="148"/>
      <c r="Q175" s="128" t="str">
        <f t="shared" si="22"/>
        <v/>
      </c>
      <c r="R175" s="148"/>
      <c r="S175" s="128" t="str">
        <f t="shared" si="23"/>
        <v/>
      </c>
      <c r="T175" s="47" t="str">
        <f t="shared" si="16"/>
        <v>OK!</v>
      </c>
    </row>
    <row r="176" spans="2:20" ht="16.5" x14ac:dyDescent="0.3">
      <c r="B176" s="129" t="s">
        <v>2670</v>
      </c>
      <c r="C176" s="128">
        <v>18.93</v>
      </c>
      <c r="D176" s="128">
        <v>20.71</v>
      </c>
      <c r="E176" s="128"/>
      <c r="F176" s="148" t="s">
        <v>2916</v>
      </c>
      <c r="G176" s="128">
        <f t="shared" si="17"/>
        <v>18.93</v>
      </c>
      <c r="H176" s="128"/>
      <c r="I176" s="128" t="str">
        <f t="shared" si="18"/>
        <v/>
      </c>
      <c r="J176" s="128"/>
      <c r="K176" s="128" t="str">
        <f t="shared" si="19"/>
        <v/>
      </c>
      <c r="L176" s="128"/>
      <c r="M176" s="128" t="str">
        <f t="shared" si="20"/>
        <v/>
      </c>
      <c r="N176" s="148"/>
      <c r="O176" s="128" t="str">
        <f t="shared" si="21"/>
        <v/>
      </c>
      <c r="P176" s="148"/>
      <c r="Q176" s="128" t="str">
        <f t="shared" si="22"/>
        <v/>
      </c>
      <c r="R176" s="148"/>
      <c r="S176" s="128" t="str">
        <f t="shared" si="23"/>
        <v/>
      </c>
      <c r="T176" s="47" t="str">
        <f t="shared" si="16"/>
        <v>OK!</v>
      </c>
    </row>
    <row r="177" spans="2:20" ht="16.5" x14ac:dyDescent="0.3">
      <c r="B177" s="129" t="s">
        <v>2669</v>
      </c>
      <c r="C177" s="128">
        <v>6.74</v>
      </c>
      <c r="D177" s="128">
        <v>12.1</v>
      </c>
      <c r="E177" s="128"/>
      <c r="F177" s="148" t="s">
        <v>2916</v>
      </c>
      <c r="G177" s="128">
        <f t="shared" si="17"/>
        <v>6.74</v>
      </c>
      <c r="H177" s="128"/>
      <c r="I177" s="128" t="str">
        <f t="shared" si="18"/>
        <v/>
      </c>
      <c r="J177" s="128"/>
      <c r="K177" s="128" t="str">
        <f t="shared" si="19"/>
        <v/>
      </c>
      <c r="L177" s="128"/>
      <c r="M177" s="128" t="str">
        <f t="shared" si="20"/>
        <v/>
      </c>
      <c r="N177" s="148"/>
      <c r="O177" s="128" t="str">
        <f t="shared" si="21"/>
        <v/>
      </c>
      <c r="P177" s="148"/>
      <c r="Q177" s="128" t="str">
        <f t="shared" si="22"/>
        <v/>
      </c>
      <c r="R177" s="148"/>
      <c r="S177" s="128" t="str">
        <f t="shared" si="23"/>
        <v/>
      </c>
      <c r="T177" s="47" t="str">
        <f t="shared" si="16"/>
        <v>OK!</v>
      </c>
    </row>
    <row r="178" spans="2:20" ht="16.5" x14ac:dyDescent="0.3">
      <c r="B178" s="129" t="s">
        <v>2666</v>
      </c>
      <c r="C178" s="128">
        <v>4.5199999999999996</v>
      </c>
      <c r="D178" s="128">
        <v>8.75</v>
      </c>
      <c r="E178" s="128"/>
      <c r="F178" s="148" t="s">
        <v>2916</v>
      </c>
      <c r="G178" s="128">
        <f t="shared" si="17"/>
        <v>4.5199999999999996</v>
      </c>
      <c r="H178" s="128"/>
      <c r="I178" s="128" t="str">
        <f t="shared" si="18"/>
        <v/>
      </c>
      <c r="J178" s="128"/>
      <c r="K178" s="128" t="str">
        <f t="shared" si="19"/>
        <v/>
      </c>
      <c r="L178" s="128"/>
      <c r="M178" s="128" t="str">
        <f t="shared" si="20"/>
        <v/>
      </c>
      <c r="N178" s="148"/>
      <c r="O178" s="128" t="str">
        <f t="shared" si="21"/>
        <v/>
      </c>
      <c r="P178" s="148"/>
      <c r="Q178" s="128" t="str">
        <f t="shared" si="22"/>
        <v/>
      </c>
      <c r="R178" s="148"/>
      <c r="S178" s="128" t="str">
        <f t="shared" si="23"/>
        <v/>
      </c>
      <c r="T178" s="47" t="str">
        <f t="shared" si="16"/>
        <v>OK!</v>
      </c>
    </row>
    <row r="179" spans="2:20" ht="16.5" x14ac:dyDescent="0.3">
      <c r="B179" s="129" t="s">
        <v>2591</v>
      </c>
      <c r="C179" s="128">
        <v>3.14</v>
      </c>
      <c r="D179" s="128">
        <v>7.1</v>
      </c>
      <c r="E179" s="128"/>
      <c r="F179" s="148" t="s">
        <v>2916</v>
      </c>
      <c r="G179" s="128">
        <f t="shared" si="17"/>
        <v>3.14</v>
      </c>
      <c r="H179" s="128"/>
      <c r="I179" s="128" t="str">
        <f t="shared" si="18"/>
        <v/>
      </c>
      <c r="J179" s="128"/>
      <c r="K179" s="128" t="str">
        <f t="shared" si="19"/>
        <v/>
      </c>
      <c r="L179" s="128"/>
      <c r="M179" s="128" t="str">
        <f t="shared" si="20"/>
        <v/>
      </c>
      <c r="N179" s="148"/>
      <c r="O179" s="128" t="str">
        <f t="shared" si="21"/>
        <v/>
      </c>
      <c r="P179" s="148"/>
      <c r="Q179" s="128" t="str">
        <f t="shared" si="22"/>
        <v/>
      </c>
      <c r="R179" s="148"/>
      <c r="S179" s="128" t="str">
        <f t="shared" si="23"/>
        <v/>
      </c>
      <c r="T179" s="47" t="str">
        <f t="shared" si="16"/>
        <v>OK!</v>
      </c>
    </row>
    <row r="180" spans="2:20" ht="16.5" x14ac:dyDescent="0.3">
      <c r="B180" s="149" t="s">
        <v>2664</v>
      </c>
      <c r="C180" s="150">
        <v>12.82</v>
      </c>
      <c r="D180" s="150">
        <v>14.79</v>
      </c>
      <c r="E180" s="150">
        <v>1.42</v>
      </c>
      <c r="F180" s="148" t="s">
        <v>2916</v>
      </c>
      <c r="G180" s="128">
        <f t="shared" si="17"/>
        <v>12.82</v>
      </c>
      <c r="H180" s="128"/>
      <c r="I180" s="128" t="str">
        <f t="shared" si="18"/>
        <v/>
      </c>
      <c r="J180" s="128"/>
      <c r="K180" s="128" t="str">
        <f t="shared" si="19"/>
        <v/>
      </c>
      <c r="L180" s="128"/>
      <c r="M180" s="128" t="str">
        <f t="shared" si="20"/>
        <v/>
      </c>
      <c r="N180" s="148"/>
      <c r="O180" s="128" t="str">
        <f t="shared" si="21"/>
        <v/>
      </c>
      <c r="P180" s="148"/>
      <c r="Q180" s="128" t="str">
        <f t="shared" si="22"/>
        <v/>
      </c>
      <c r="R180" s="148"/>
      <c r="S180" s="128" t="str">
        <f t="shared" si="23"/>
        <v/>
      </c>
      <c r="T180" s="47" t="str">
        <f t="shared" si="16"/>
        <v>OK!</v>
      </c>
    </row>
    <row r="181" spans="2:20" ht="16.5" x14ac:dyDescent="0.3">
      <c r="B181" s="149" t="s">
        <v>2663</v>
      </c>
      <c r="C181" s="150">
        <v>6.97</v>
      </c>
      <c r="D181" s="150">
        <v>10.68</v>
      </c>
      <c r="E181" s="150"/>
      <c r="F181" s="148" t="s">
        <v>2916</v>
      </c>
      <c r="G181" s="128">
        <f t="shared" si="17"/>
        <v>6.97</v>
      </c>
      <c r="H181" s="128"/>
      <c r="I181" s="128" t="str">
        <f t="shared" si="18"/>
        <v/>
      </c>
      <c r="J181" s="128"/>
      <c r="K181" s="128" t="str">
        <f t="shared" si="19"/>
        <v/>
      </c>
      <c r="L181" s="128"/>
      <c r="M181" s="128" t="str">
        <f t="shared" si="20"/>
        <v/>
      </c>
      <c r="N181" s="148"/>
      <c r="O181" s="128" t="str">
        <f t="shared" si="21"/>
        <v/>
      </c>
      <c r="P181" s="148"/>
      <c r="Q181" s="128" t="str">
        <f t="shared" si="22"/>
        <v/>
      </c>
      <c r="R181" s="148"/>
      <c r="S181" s="128" t="str">
        <f t="shared" si="23"/>
        <v/>
      </c>
      <c r="T181" s="47" t="str">
        <f t="shared" si="16"/>
        <v>OK!</v>
      </c>
    </row>
    <row r="182" spans="2:20" ht="16.5" x14ac:dyDescent="0.3">
      <c r="B182" s="149" t="s">
        <v>2662</v>
      </c>
      <c r="C182" s="150">
        <v>6.42</v>
      </c>
      <c r="D182" s="150">
        <v>10.28</v>
      </c>
      <c r="E182" s="150"/>
      <c r="F182" s="148" t="s">
        <v>2916</v>
      </c>
      <c r="G182" s="128">
        <f t="shared" si="17"/>
        <v>6.42</v>
      </c>
      <c r="H182" s="128"/>
      <c r="I182" s="128" t="str">
        <f t="shared" si="18"/>
        <v/>
      </c>
      <c r="J182" s="128"/>
      <c r="K182" s="128" t="str">
        <f t="shared" si="19"/>
        <v/>
      </c>
      <c r="L182" s="128"/>
      <c r="M182" s="128" t="str">
        <f t="shared" si="20"/>
        <v/>
      </c>
      <c r="N182" s="148"/>
      <c r="O182" s="128" t="str">
        <f t="shared" si="21"/>
        <v/>
      </c>
      <c r="P182" s="148"/>
      <c r="Q182" s="128" t="str">
        <f t="shared" si="22"/>
        <v/>
      </c>
      <c r="R182" s="148"/>
      <c r="S182" s="128" t="str">
        <f t="shared" si="23"/>
        <v/>
      </c>
      <c r="T182" s="47" t="str">
        <f t="shared" si="16"/>
        <v>OK!</v>
      </c>
    </row>
    <row r="183" spans="2:20" ht="16.5" x14ac:dyDescent="0.3">
      <c r="B183" s="129" t="s">
        <v>2725</v>
      </c>
      <c r="C183" s="128">
        <v>12.84</v>
      </c>
      <c r="D183" s="128">
        <v>17.39</v>
      </c>
      <c r="E183" s="128"/>
      <c r="F183" s="148" t="s">
        <v>2916</v>
      </c>
      <c r="G183" s="128">
        <f t="shared" si="17"/>
        <v>12.84</v>
      </c>
      <c r="H183" s="128"/>
      <c r="I183" s="128" t="str">
        <f t="shared" si="18"/>
        <v/>
      </c>
      <c r="J183" s="128"/>
      <c r="K183" s="128" t="str">
        <f t="shared" si="19"/>
        <v/>
      </c>
      <c r="L183" s="128"/>
      <c r="M183" s="128" t="str">
        <f t="shared" si="20"/>
        <v/>
      </c>
      <c r="N183" s="148"/>
      <c r="O183" s="128" t="str">
        <f t="shared" si="21"/>
        <v/>
      </c>
      <c r="P183" s="148"/>
      <c r="Q183" s="128" t="str">
        <f t="shared" si="22"/>
        <v/>
      </c>
      <c r="R183" s="148"/>
      <c r="S183" s="128" t="str">
        <f t="shared" si="23"/>
        <v/>
      </c>
      <c r="T183" s="47" t="str">
        <f t="shared" si="16"/>
        <v>OK!</v>
      </c>
    </row>
    <row r="184" spans="2:20" ht="16.5" x14ac:dyDescent="0.3">
      <c r="B184" s="129" t="s">
        <v>2661</v>
      </c>
      <c r="C184" s="128">
        <v>2.1</v>
      </c>
      <c r="D184" s="128">
        <v>6.35</v>
      </c>
      <c r="E184" s="128"/>
      <c r="F184" s="148" t="s">
        <v>2916</v>
      </c>
      <c r="G184" s="128">
        <f t="shared" si="17"/>
        <v>2.1</v>
      </c>
      <c r="H184" s="128"/>
      <c r="I184" s="128" t="str">
        <f t="shared" si="18"/>
        <v/>
      </c>
      <c r="J184" s="128"/>
      <c r="K184" s="128" t="str">
        <f t="shared" si="19"/>
        <v/>
      </c>
      <c r="L184" s="128"/>
      <c r="M184" s="128" t="str">
        <f t="shared" si="20"/>
        <v/>
      </c>
      <c r="N184" s="148"/>
      <c r="O184" s="128" t="str">
        <f t="shared" si="21"/>
        <v/>
      </c>
      <c r="P184" s="148"/>
      <c r="Q184" s="128" t="str">
        <f t="shared" si="22"/>
        <v/>
      </c>
      <c r="R184" s="148"/>
      <c r="S184" s="128" t="str">
        <f t="shared" si="23"/>
        <v/>
      </c>
      <c r="T184" s="47" t="str">
        <f t="shared" si="16"/>
        <v>OK!</v>
      </c>
    </row>
    <row r="185" spans="2:20" ht="16.5" x14ac:dyDescent="0.3">
      <c r="B185" s="129" t="s">
        <v>2660</v>
      </c>
      <c r="C185" s="128">
        <v>2.5099999999999998</v>
      </c>
      <c r="D185" s="128">
        <v>6.35</v>
      </c>
      <c r="E185" s="128"/>
      <c r="F185" s="148" t="s">
        <v>2916</v>
      </c>
      <c r="G185" s="128">
        <f t="shared" si="17"/>
        <v>2.5099999999999998</v>
      </c>
      <c r="H185" s="128"/>
      <c r="I185" s="128" t="str">
        <f t="shared" si="18"/>
        <v/>
      </c>
      <c r="J185" s="128"/>
      <c r="K185" s="128" t="str">
        <f t="shared" si="19"/>
        <v/>
      </c>
      <c r="L185" s="128"/>
      <c r="M185" s="128" t="str">
        <f t="shared" si="20"/>
        <v/>
      </c>
      <c r="N185" s="148"/>
      <c r="O185" s="128" t="str">
        <f t="shared" si="21"/>
        <v/>
      </c>
      <c r="P185" s="148"/>
      <c r="Q185" s="128" t="str">
        <f t="shared" si="22"/>
        <v/>
      </c>
      <c r="R185" s="148"/>
      <c r="S185" s="128" t="str">
        <f t="shared" si="23"/>
        <v/>
      </c>
      <c r="T185" s="47" t="str">
        <f t="shared" si="16"/>
        <v>OK!</v>
      </c>
    </row>
    <row r="186" spans="2:20" ht="16.5" x14ac:dyDescent="0.3">
      <c r="B186" s="129" t="s">
        <v>2642</v>
      </c>
      <c r="C186" s="128">
        <v>25.29</v>
      </c>
      <c r="D186" s="128">
        <v>21.07</v>
      </c>
      <c r="E186" s="128"/>
      <c r="F186" s="148" t="s">
        <v>2916</v>
      </c>
      <c r="G186" s="128">
        <f t="shared" si="17"/>
        <v>25.29</v>
      </c>
      <c r="H186" s="128"/>
      <c r="I186" s="128" t="str">
        <f t="shared" si="18"/>
        <v/>
      </c>
      <c r="J186" s="128"/>
      <c r="K186" s="128" t="str">
        <f t="shared" si="19"/>
        <v/>
      </c>
      <c r="L186" s="128"/>
      <c r="M186" s="128" t="str">
        <f t="shared" si="20"/>
        <v/>
      </c>
      <c r="N186" s="148"/>
      <c r="O186" s="128" t="str">
        <f t="shared" si="21"/>
        <v/>
      </c>
      <c r="P186" s="148"/>
      <c r="Q186" s="128" t="str">
        <f t="shared" si="22"/>
        <v/>
      </c>
      <c r="R186" s="148"/>
      <c r="S186" s="128" t="str">
        <f t="shared" si="23"/>
        <v/>
      </c>
      <c r="T186" s="47" t="str">
        <f t="shared" si="16"/>
        <v>OK!</v>
      </c>
    </row>
    <row r="187" spans="2:20" ht="16.5" x14ac:dyDescent="0.3">
      <c r="B187" s="129" t="s">
        <v>2643</v>
      </c>
      <c r="C187" s="128">
        <v>5.17</v>
      </c>
      <c r="D187" s="128">
        <v>10</v>
      </c>
      <c r="E187" s="128"/>
      <c r="F187" s="148" t="s">
        <v>2916</v>
      </c>
      <c r="G187" s="128">
        <f t="shared" si="17"/>
        <v>5.17</v>
      </c>
      <c r="H187" s="128"/>
      <c r="I187" s="128" t="str">
        <f t="shared" si="18"/>
        <v/>
      </c>
      <c r="J187" s="128"/>
      <c r="K187" s="128" t="str">
        <f t="shared" si="19"/>
        <v/>
      </c>
      <c r="L187" s="128"/>
      <c r="M187" s="128" t="str">
        <f t="shared" si="20"/>
        <v/>
      </c>
      <c r="N187" s="148"/>
      <c r="O187" s="128" t="str">
        <f t="shared" si="21"/>
        <v/>
      </c>
      <c r="P187" s="148"/>
      <c r="Q187" s="128" t="str">
        <f t="shared" si="22"/>
        <v/>
      </c>
      <c r="R187" s="148"/>
      <c r="S187" s="128" t="str">
        <f t="shared" si="23"/>
        <v/>
      </c>
      <c r="T187" s="47" t="str">
        <f t="shared" si="16"/>
        <v>OK!</v>
      </c>
    </row>
    <row r="188" spans="2:20" ht="16.5" x14ac:dyDescent="0.3">
      <c r="B188" s="129" t="s">
        <v>2644</v>
      </c>
      <c r="C188" s="128">
        <v>25.41</v>
      </c>
      <c r="D188" s="128">
        <v>21.12</v>
      </c>
      <c r="E188" s="128"/>
      <c r="F188" s="148" t="s">
        <v>2916</v>
      </c>
      <c r="G188" s="128">
        <f t="shared" si="17"/>
        <v>25.41</v>
      </c>
      <c r="H188" s="128"/>
      <c r="I188" s="128" t="str">
        <f t="shared" si="18"/>
        <v/>
      </c>
      <c r="J188" s="128"/>
      <c r="K188" s="128" t="str">
        <f t="shared" si="19"/>
        <v/>
      </c>
      <c r="L188" s="128"/>
      <c r="M188" s="128" t="str">
        <f t="shared" si="20"/>
        <v/>
      </c>
      <c r="N188" s="148"/>
      <c r="O188" s="128" t="str">
        <f t="shared" si="21"/>
        <v/>
      </c>
      <c r="P188" s="148"/>
      <c r="Q188" s="128" t="str">
        <f t="shared" si="22"/>
        <v/>
      </c>
      <c r="R188" s="148"/>
      <c r="S188" s="128" t="str">
        <f t="shared" si="23"/>
        <v/>
      </c>
      <c r="T188" s="47" t="str">
        <f t="shared" si="16"/>
        <v>OK!</v>
      </c>
    </row>
    <row r="189" spans="2:20" ht="16.5" x14ac:dyDescent="0.3">
      <c r="B189" s="129" t="s">
        <v>2645</v>
      </c>
      <c r="C189" s="128">
        <v>5.17</v>
      </c>
      <c r="D189" s="128">
        <v>10</v>
      </c>
      <c r="E189" s="128"/>
      <c r="F189" s="148" t="s">
        <v>2916</v>
      </c>
      <c r="G189" s="128">
        <f t="shared" si="17"/>
        <v>5.17</v>
      </c>
      <c r="H189" s="128"/>
      <c r="I189" s="128" t="str">
        <f t="shared" si="18"/>
        <v/>
      </c>
      <c r="J189" s="128"/>
      <c r="K189" s="128" t="str">
        <f t="shared" si="19"/>
        <v/>
      </c>
      <c r="L189" s="128"/>
      <c r="M189" s="128" t="str">
        <f t="shared" si="20"/>
        <v/>
      </c>
      <c r="N189" s="148"/>
      <c r="O189" s="128" t="str">
        <f t="shared" si="21"/>
        <v/>
      </c>
      <c r="P189" s="148"/>
      <c r="Q189" s="128" t="str">
        <f t="shared" si="22"/>
        <v/>
      </c>
      <c r="R189" s="148"/>
      <c r="S189" s="128" t="str">
        <f t="shared" si="23"/>
        <v/>
      </c>
      <c r="T189" s="47" t="str">
        <f t="shared" si="16"/>
        <v>OK!</v>
      </c>
    </row>
    <row r="190" spans="2:20" ht="16.5" x14ac:dyDescent="0.3">
      <c r="B190" s="129" t="s">
        <v>2646</v>
      </c>
      <c r="C190" s="128">
        <v>25.41</v>
      </c>
      <c r="D190" s="128">
        <v>21.12</v>
      </c>
      <c r="E190" s="128"/>
      <c r="F190" s="148" t="s">
        <v>2916</v>
      </c>
      <c r="G190" s="128">
        <f t="shared" si="17"/>
        <v>25.41</v>
      </c>
      <c r="H190" s="128"/>
      <c r="I190" s="128" t="str">
        <f t="shared" si="18"/>
        <v/>
      </c>
      <c r="J190" s="128"/>
      <c r="K190" s="128" t="str">
        <f t="shared" si="19"/>
        <v/>
      </c>
      <c r="L190" s="128"/>
      <c r="M190" s="128" t="str">
        <f t="shared" si="20"/>
        <v/>
      </c>
      <c r="N190" s="148"/>
      <c r="O190" s="128" t="str">
        <f t="shared" si="21"/>
        <v/>
      </c>
      <c r="P190" s="148"/>
      <c r="Q190" s="128" t="str">
        <f t="shared" si="22"/>
        <v/>
      </c>
      <c r="R190" s="148"/>
      <c r="S190" s="128" t="str">
        <f t="shared" si="23"/>
        <v/>
      </c>
      <c r="T190" s="47" t="str">
        <f t="shared" si="16"/>
        <v>OK!</v>
      </c>
    </row>
    <row r="191" spans="2:20" ht="16.5" x14ac:dyDescent="0.3">
      <c r="B191" s="129" t="s">
        <v>2647</v>
      </c>
      <c r="C191" s="128">
        <v>5.19</v>
      </c>
      <c r="D191" s="128">
        <v>10</v>
      </c>
      <c r="E191" s="128"/>
      <c r="F191" s="148" t="s">
        <v>2916</v>
      </c>
      <c r="G191" s="128">
        <f t="shared" si="17"/>
        <v>5.19</v>
      </c>
      <c r="H191" s="128"/>
      <c r="I191" s="128" t="str">
        <f t="shared" si="18"/>
        <v/>
      </c>
      <c r="J191" s="128"/>
      <c r="K191" s="128" t="str">
        <f t="shared" si="19"/>
        <v/>
      </c>
      <c r="L191" s="128"/>
      <c r="M191" s="128" t="str">
        <f t="shared" si="20"/>
        <v/>
      </c>
      <c r="N191" s="148"/>
      <c r="O191" s="128" t="str">
        <f t="shared" si="21"/>
        <v/>
      </c>
      <c r="P191" s="148"/>
      <c r="Q191" s="128" t="str">
        <f t="shared" si="22"/>
        <v/>
      </c>
      <c r="R191" s="148"/>
      <c r="S191" s="128" t="str">
        <f t="shared" si="23"/>
        <v/>
      </c>
      <c r="T191" s="47" t="str">
        <f t="shared" si="16"/>
        <v>OK!</v>
      </c>
    </row>
    <row r="192" spans="2:20" ht="16.5" x14ac:dyDescent="0.3">
      <c r="B192" s="129" t="s">
        <v>2648</v>
      </c>
      <c r="C192" s="128">
        <v>25.24</v>
      </c>
      <c r="D192" s="128">
        <v>21.05</v>
      </c>
      <c r="E192" s="128"/>
      <c r="F192" s="148" t="s">
        <v>2916</v>
      </c>
      <c r="G192" s="128">
        <f t="shared" si="17"/>
        <v>25.24</v>
      </c>
      <c r="H192" s="128"/>
      <c r="I192" s="128" t="str">
        <f t="shared" si="18"/>
        <v/>
      </c>
      <c r="J192" s="128"/>
      <c r="K192" s="128" t="str">
        <f t="shared" si="19"/>
        <v/>
      </c>
      <c r="L192" s="128"/>
      <c r="M192" s="128" t="str">
        <f t="shared" si="20"/>
        <v/>
      </c>
      <c r="N192" s="148"/>
      <c r="O192" s="128" t="str">
        <f t="shared" si="21"/>
        <v/>
      </c>
      <c r="P192" s="148"/>
      <c r="Q192" s="128" t="str">
        <f t="shared" si="22"/>
        <v/>
      </c>
      <c r="R192" s="148"/>
      <c r="S192" s="128" t="str">
        <f t="shared" si="23"/>
        <v/>
      </c>
      <c r="T192" s="47" t="str">
        <f t="shared" si="16"/>
        <v>OK!</v>
      </c>
    </row>
    <row r="193" spans="2:21" ht="16.5" x14ac:dyDescent="0.3">
      <c r="B193" s="129" t="s">
        <v>2649</v>
      </c>
      <c r="C193" s="128">
        <v>5.19</v>
      </c>
      <c r="D193" s="128">
        <v>10</v>
      </c>
      <c r="E193" s="128"/>
      <c r="F193" s="148" t="s">
        <v>2916</v>
      </c>
      <c r="G193" s="128">
        <f t="shared" si="17"/>
        <v>5.19</v>
      </c>
      <c r="H193" s="128"/>
      <c r="I193" s="128" t="str">
        <f t="shared" si="18"/>
        <v/>
      </c>
      <c r="J193" s="128"/>
      <c r="K193" s="128" t="str">
        <f t="shared" si="19"/>
        <v/>
      </c>
      <c r="L193" s="128"/>
      <c r="M193" s="128" t="str">
        <f t="shared" si="20"/>
        <v/>
      </c>
      <c r="N193" s="148"/>
      <c r="O193" s="128" t="str">
        <f t="shared" si="21"/>
        <v/>
      </c>
      <c r="P193" s="148"/>
      <c r="Q193" s="128" t="str">
        <f t="shared" si="22"/>
        <v/>
      </c>
      <c r="R193" s="148"/>
      <c r="S193" s="128" t="str">
        <f t="shared" si="23"/>
        <v/>
      </c>
      <c r="T193" s="47" t="str">
        <f t="shared" si="16"/>
        <v>OK!</v>
      </c>
    </row>
    <row r="194" spans="2:21" ht="16.5" x14ac:dyDescent="0.3">
      <c r="B194" s="129" t="s">
        <v>2651</v>
      </c>
      <c r="C194" s="128">
        <v>27.54</v>
      </c>
      <c r="D194" s="128">
        <v>21.83</v>
      </c>
      <c r="E194" s="128"/>
      <c r="F194" s="148" t="s">
        <v>2916</v>
      </c>
      <c r="G194" s="128">
        <f t="shared" si="17"/>
        <v>27.54</v>
      </c>
      <c r="H194" s="128"/>
      <c r="I194" s="128" t="str">
        <f t="shared" si="18"/>
        <v/>
      </c>
      <c r="J194" s="128"/>
      <c r="K194" s="128" t="str">
        <f t="shared" si="19"/>
        <v/>
      </c>
      <c r="L194" s="128"/>
      <c r="M194" s="128" t="str">
        <f t="shared" si="20"/>
        <v/>
      </c>
      <c r="N194" s="148"/>
      <c r="O194" s="128" t="str">
        <f t="shared" si="21"/>
        <v/>
      </c>
      <c r="P194" s="148"/>
      <c r="Q194" s="128" t="str">
        <f t="shared" si="22"/>
        <v/>
      </c>
      <c r="R194" s="148"/>
      <c r="S194" s="128" t="str">
        <f t="shared" si="23"/>
        <v/>
      </c>
      <c r="T194" s="47" t="str">
        <f t="shared" si="16"/>
        <v>OK!</v>
      </c>
    </row>
    <row r="195" spans="2:21" ht="16.5" x14ac:dyDescent="0.3">
      <c r="B195" s="129" t="s">
        <v>2652</v>
      </c>
      <c r="C195" s="128">
        <v>5.23</v>
      </c>
      <c r="D195" s="128">
        <v>10.06</v>
      </c>
      <c r="E195" s="128"/>
      <c r="F195" s="148" t="s">
        <v>2916</v>
      </c>
      <c r="G195" s="128">
        <f t="shared" si="17"/>
        <v>5.23</v>
      </c>
      <c r="H195" s="128"/>
      <c r="I195" s="128" t="str">
        <f t="shared" si="18"/>
        <v/>
      </c>
      <c r="J195" s="128"/>
      <c r="K195" s="128" t="str">
        <f t="shared" si="19"/>
        <v/>
      </c>
      <c r="L195" s="128"/>
      <c r="M195" s="128" t="str">
        <f t="shared" si="20"/>
        <v/>
      </c>
      <c r="N195" s="148"/>
      <c r="O195" s="128" t="str">
        <f t="shared" si="21"/>
        <v/>
      </c>
      <c r="P195" s="148"/>
      <c r="Q195" s="128" t="str">
        <f t="shared" si="22"/>
        <v/>
      </c>
      <c r="R195" s="148"/>
      <c r="S195" s="128" t="str">
        <f t="shared" si="23"/>
        <v/>
      </c>
      <c r="T195" s="47" t="str">
        <f t="shared" si="16"/>
        <v>OK!</v>
      </c>
    </row>
    <row r="196" spans="2:21" ht="16.5" x14ac:dyDescent="0.3">
      <c r="B196" s="129" t="s">
        <v>2598</v>
      </c>
      <c r="C196" s="128">
        <v>2.83</v>
      </c>
      <c r="D196" s="128">
        <v>7.16</v>
      </c>
      <c r="E196" s="128"/>
      <c r="F196" s="148" t="s">
        <v>2916</v>
      </c>
      <c r="G196" s="128">
        <f t="shared" si="17"/>
        <v>2.83</v>
      </c>
      <c r="H196" s="128"/>
      <c r="I196" s="128" t="str">
        <f t="shared" si="18"/>
        <v/>
      </c>
      <c r="J196" s="128"/>
      <c r="K196" s="128" t="str">
        <f t="shared" si="19"/>
        <v/>
      </c>
      <c r="L196" s="128"/>
      <c r="M196" s="128" t="str">
        <f t="shared" si="20"/>
        <v/>
      </c>
      <c r="N196" s="148"/>
      <c r="O196" s="128" t="str">
        <f t="shared" si="21"/>
        <v/>
      </c>
      <c r="P196" s="148"/>
      <c r="Q196" s="128" t="str">
        <f t="shared" si="22"/>
        <v/>
      </c>
      <c r="R196" s="148"/>
      <c r="S196" s="128" t="str">
        <f t="shared" si="23"/>
        <v/>
      </c>
      <c r="T196" s="47" t="str">
        <f t="shared" si="16"/>
        <v>OK!</v>
      </c>
    </row>
    <row r="197" spans="2:21" ht="16.5" x14ac:dyDescent="0.3">
      <c r="B197" s="129" t="s">
        <v>2677</v>
      </c>
      <c r="C197" s="128">
        <v>23.7</v>
      </c>
      <c r="D197" s="128">
        <v>20.28</v>
      </c>
      <c r="E197" s="128"/>
      <c r="F197" s="148" t="s">
        <v>2916</v>
      </c>
      <c r="G197" s="128">
        <f t="shared" si="17"/>
        <v>23.7</v>
      </c>
      <c r="H197" s="128"/>
      <c r="I197" s="128" t="str">
        <f t="shared" si="18"/>
        <v/>
      </c>
      <c r="J197" s="128"/>
      <c r="K197" s="128" t="str">
        <f t="shared" si="19"/>
        <v/>
      </c>
      <c r="L197" s="128"/>
      <c r="M197" s="128" t="str">
        <f t="shared" si="20"/>
        <v/>
      </c>
      <c r="N197" s="148"/>
      <c r="O197" s="128" t="str">
        <f t="shared" si="21"/>
        <v/>
      </c>
      <c r="P197" s="148"/>
      <c r="Q197" s="128" t="str">
        <f t="shared" si="22"/>
        <v/>
      </c>
      <c r="R197" s="148"/>
      <c r="S197" s="128" t="str">
        <f t="shared" si="23"/>
        <v/>
      </c>
      <c r="T197" s="47" t="str">
        <f t="shared" ref="T197:T260" si="24">IF(COUNT(F197:S197)&gt;1,"Corrigir!","OK!")</f>
        <v>OK!</v>
      </c>
    </row>
    <row r="198" spans="2:21" ht="16.5" x14ac:dyDescent="0.3">
      <c r="B198" s="129" t="s">
        <v>2726</v>
      </c>
      <c r="C198" s="128">
        <v>5.78</v>
      </c>
      <c r="D198" s="128">
        <v>10.67</v>
      </c>
      <c r="E198" s="128"/>
      <c r="F198" s="148" t="s">
        <v>2916</v>
      </c>
      <c r="G198" s="128">
        <f t="shared" si="17"/>
        <v>5.78</v>
      </c>
      <c r="H198" s="128"/>
      <c r="I198" s="128" t="str">
        <f t="shared" si="18"/>
        <v/>
      </c>
      <c r="J198" s="128"/>
      <c r="K198" s="128" t="str">
        <f t="shared" si="19"/>
        <v/>
      </c>
      <c r="L198" s="128"/>
      <c r="M198" s="128" t="str">
        <f t="shared" si="20"/>
        <v/>
      </c>
      <c r="N198" s="148"/>
      <c r="O198" s="128" t="str">
        <f t="shared" si="21"/>
        <v/>
      </c>
      <c r="P198" s="148"/>
      <c r="Q198" s="128" t="str">
        <f t="shared" si="22"/>
        <v/>
      </c>
      <c r="R198" s="148"/>
      <c r="S198" s="128" t="str">
        <f t="shared" si="23"/>
        <v/>
      </c>
      <c r="T198" s="47" t="str">
        <f t="shared" si="24"/>
        <v>OK!</v>
      </c>
    </row>
    <row r="199" spans="2:21" ht="16.5" x14ac:dyDescent="0.3">
      <c r="B199" s="129" t="s">
        <v>2657</v>
      </c>
      <c r="C199" s="128">
        <v>27.49</v>
      </c>
      <c r="D199" s="128">
        <v>21.78</v>
      </c>
      <c r="E199" s="128"/>
      <c r="F199" s="148" t="s">
        <v>2916</v>
      </c>
      <c r="G199" s="128">
        <f t="shared" ref="G199:G262" si="25">IF(F199="x",$C199,"")</f>
        <v>27.49</v>
      </c>
      <c r="H199" s="128"/>
      <c r="I199" s="128" t="str">
        <f t="shared" ref="I199:I262" si="26">IF(H199="x",$C199,"")</f>
        <v/>
      </c>
      <c r="J199" s="128"/>
      <c r="K199" s="128" t="str">
        <f t="shared" ref="K199:K262" si="27">IF(J199="x",$C199,"")</f>
        <v/>
      </c>
      <c r="L199" s="128"/>
      <c r="M199" s="128" t="str">
        <f t="shared" ref="M199:M262" si="28">IF(L199="x",$C199,"")</f>
        <v/>
      </c>
      <c r="N199" s="148"/>
      <c r="O199" s="128" t="str">
        <f t="shared" ref="O199:O262" si="29">IF(N199="x",$C199,"")</f>
        <v/>
      </c>
      <c r="P199" s="148"/>
      <c r="Q199" s="128" t="str">
        <f t="shared" ref="Q199:Q262" si="30">IF(P199="x",$C199,"")</f>
        <v/>
      </c>
      <c r="R199" s="148"/>
      <c r="S199" s="128" t="str">
        <f t="shared" ref="S199:S262" si="31">IF(R199="x",$C199,"")</f>
        <v/>
      </c>
      <c r="T199" s="47" t="str">
        <f t="shared" si="24"/>
        <v>OK!</v>
      </c>
    </row>
    <row r="200" spans="2:21" ht="16.5" x14ac:dyDescent="0.3">
      <c r="B200" s="129" t="s">
        <v>2658</v>
      </c>
      <c r="C200" s="128">
        <v>5.2</v>
      </c>
      <c r="D200" s="128">
        <v>10</v>
      </c>
      <c r="E200" s="128"/>
      <c r="F200" s="148" t="s">
        <v>2916</v>
      </c>
      <c r="G200" s="128">
        <f t="shared" si="25"/>
        <v>5.2</v>
      </c>
      <c r="H200" s="128"/>
      <c r="I200" s="128" t="str">
        <f t="shared" si="26"/>
        <v/>
      </c>
      <c r="J200" s="128"/>
      <c r="K200" s="128" t="str">
        <f t="shared" si="27"/>
        <v/>
      </c>
      <c r="L200" s="128"/>
      <c r="M200" s="128" t="str">
        <f t="shared" si="28"/>
        <v/>
      </c>
      <c r="N200" s="148"/>
      <c r="O200" s="128" t="str">
        <f t="shared" si="29"/>
        <v/>
      </c>
      <c r="P200" s="148"/>
      <c r="Q200" s="128" t="str">
        <f t="shared" si="30"/>
        <v/>
      </c>
      <c r="R200" s="148"/>
      <c r="S200" s="128" t="str">
        <f t="shared" si="31"/>
        <v/>
      </c>
      <c r="T200" s="47" t="str">
        <f t="shared" si="24"/>
        <v>OK!</v>
      </c>
    </row>
    <row r="201" spans="2:21" ht="16.5" x14ac:dyDescent="0.3">
      <c r="B201" s="129" t="s">
        <v>2667</v>
      </c>
      <c r="C201" s="128">
        <v>27.29</v>
      </c>
      <c r="D201" s="128">
        <v>21.74</v>
      </c>
      <c r="E201" s="128"/>
      <c r="F201" s="148" t="s">
        <v>2916</v>
      </c>
      <c r="G201" s="128">
        <f t="shared" si="25"/>
        <v>27.29</v>
      </c>
      <c r="H201" s="128"/>
      <c r="I201" s="128" t="str">
        <f t="shared" si="26"/>
        <v/>
      </c>
      <c r="J201" s="128"/>
      <c r="K201" s="128" t="str">
        <f t="shared" si="27"/>
        <v/>
      </c>
      <c r="L201" s="128"/>
      <c r="M201" s="128" t="str">
        <f t="shared" si="28"/>
        <v/>
      </c>
      <c r="N201" s="148"/>
      <c r="O201" s="128" t="str">
        <f t="shared" si="29"/>
        <v/>
      </c>
      <c r="P201" s="148"/>
      <c r="Q201" s="128" t="str">
        <f t="shared" si="30"/>
        <v/>
      </c>
      <c r="R201" s="148"/>
      <c r="S201" s="128" t="str">
        <f t="shared" si="31"/>
        <v/>
      </c>
      <c r="T201" s="47" t="str">
        <f t="shared" si="24"/>
        <v>OK!</v>
      </c>
    </row>
    <row r="202" spans="2:21" ht="16.5" x14ac:dyDescent="0.3">
      <c r="B202" s="129" t="s">
        <v>2668</v>
      </c>
      <c r="C202" s="128">
        <v>5.22</v>
      </c>
      <c r="D202" s="128">
        <v>10.01</v>
      </c>
      <c r="E202" s="128"/>
      <c r="F202" s="148" t="s">
        <v>2916</v>
      </c>
      <c r="G202" s="128">
        <f t="shared" si="25"/>
        <v>5.22</v>
      </c>
      <c r="H202" s="128"/>
      <c r="I202" s="128" t="str">
        <f t="shared" si="26"/>
        <v/>
      </c>
      <c r="J202" s="128"/>
      <c r="K202" s="128" t="str">
        <f t="shared" si="27"/>
        <v/>
      </c>
      <c r="L202" s="128"/>
      <c r="M202" s="128" t="str">
        <f t="shared" si="28"/>
        <v/>
      </c>
      <c r="N202" s="148"/>
      <c r="O202" s="128" t="str">
        <f t="shared" si="29"/>
        <v/>
      </c>
      <c r="P202" s="148"/>
      <c r="Q202" s="128" t="str">
        <f t="shared" si="30"/>
        <v/>
      </c>
      <c r="R202" s="148"/>
      <c r="S202" s="128" t="str">
        <f t="shared" si="31"/>
        <v/>
      </c>
      <c r="T202" s="47" t="str">
        <f t="shared" si="24"/>
        <v>OK!</v>
      </c>
    </row>
    <row r="203" spans="2:21" ht="16.5" x14ac:dyDescent="0.3">
      <c r="B203" s="129" t="s">
        <v>2673</v>
      </c>
      <c r="C203" s="128">
        <v>27.55</v>
      </c>
      <c r="D203" s="128">
        <v>21.85</v>
      </c>
      <c r="E203" s="128"/>
      <c r="F203" s="148" t="s">
        <v>2916</v>
      </c>
      <c r="G203" s="128">
        <f t="shared" si="25"/>
        <v>27.55</v>
      </c>
      <c r="H203" s="128"/>
      <c r="I203" s="128" t="str">
        <f t="shared" si="26"/>
        <v/>
      </c>
      <c r="J203" s="128"/>
      <c r="K203" s="128" t="str">
        <f t="shared" si="27"/>
        <v/>
      </c>
      <c r="L203" s="128"/>
      <c r="M203" s="128" t="str">
        <f t="shared" si="28"/>
        <v/>
      </c>
      <c r="N203" s="148"/>
      <c r="O203" s="128" t="str">
        <f t="shared" si="29"/>
        <v/>
      </c>
      <c r="P203" s="148"/>
      <c r="Q203" s="128" t="str">
        <f t="shared" si="30"/>
        <v/>
      </c>
      <c r="R203" s="148"/>
      <c r="S203" s="128" t="str">
        <f t="shared" si="31"/>
        <v/>
      </c>
      <c r="T203" s="47" t="str">
        <f t="shared" si="24"/>
        <v>OK!</v>
      </c>
    </row>
    <row r="204" spans="2:21" ht="16.5" x14ac:dyDescent="0.3">
      <c r="B204" s="129" t="s">
        <v>2674</v>
      </c>
      <c r="C204" s="128">
        <v>5.23</v>
      </c>
      <c r="D204" s="128">
        <v>10.02</v>
      </c>
      <c r="E204" s="128"/>
      <c r="F204" s="148" t="s">
        <v>2916</v>
      </c>
      <c r="G204" s="128">
        <f t="shared" si="25"/>
        <v>5.23</v>
      </c>
      <c r="H204" s="128"/>
      <c r="I204" s="128" t="str">
        <f t="shared" si="26"/>
        <v/>
      </c>
      <c r="J204" s="128"/>
      <c r="K204" s="128" t="str">
        <f t="shared" si="27"/>
        <v/>
      </c>
      <c r="L204" s="128"/>
      <c r="M204" s="128" t="str">
        <f t="shared" si="28"/>
        <v/>
      </c>
      <c r="N204" s="148"/>
      <c r="O204" s="128" t="str">
        <f t="shared" si="29"/>
        <v/>
      </c>
      <c r="P204" s="148"/>
      <c r="Q204" s="128" t="str">
        <f t="shared" si="30"/>
        <v/>
      </c>
      <c r="R204" s="148"/>
      <c r="S204" s="128" t="str">
        <f t="shared" si="31"/>
        <v/>
      </c>
      <c r="T204" s="47" t="str">
        <f t="shared" si="24"/>
        <v>OK!</v>
      </c>
      <c r="U204" s="157"/>
    </row>
    <row r="205" spans="2:21" ht="16.5" x14ac:dyDescent="0.3">
      <c r="B205" s="129" t="s">
        <v>2675</v>
      </c>
      <c r="C205" s="128">
        <v>27.36</v>
      </c>
      <c r="D205" s="128">
        <v>21.75</v>
      </c>
      <c r="E205" s="128"/>
      <c r="F205" s="148" t="s">
        <v>2916</v>
      </c>
      <c r="G205" s="128">
        <f t="shared" si="25"/>
        <v>27.36</v>
      </c>
      <c r="H205" s="128"/>
      <c r="I205" s="128" t="str">
        <f t="shared" si="26"/>
        <v/>
      </c>
      <c r="J205" s="128"/>
      <c r="K205" s="128" t="str">
        <f t="shared" si="27"/>
        <v/>
      </c>
      <c r="L205" s="128"/>
      <c r="M205" s="128" t="str">
        <f t="shared" si="28"/>
        <v/>
      </c>
      <c r="N205" s="148"/>
      <c r="O205" s="128" t="str">
        <f t="shared" si="29"/>
        <v/>
      </c>
      <c r="P205" s="148"/>
      <c r="Q205" s="128" t="str">
        <f t="shared" si="30"/>
        <v/>
      </c>
      <c r="R205" s="148"/>
      <c r="S205" s="128" t="str">
        <f t="shared" si="31"/>
        <v/>
      </c>
      <c r="T205" s="47" t="str">
        <f t="shared" si="24"/>
        <v>OK!</v>
      </c>
      <c r="U205" s="157"/>
    </row>
    <row r="206" spans="2:21" ht="16.5" x14ac:dyDescent="0.3">
      <c r="B206" s="129" t="s">
        <v>2676</v>
      </c>
      <c r="C206" s="128">
        <v>5.21</v>
      </c>
      <c r="D206" s="128">
        <v>10.01</v>
      </c>
      <c r="E206" s="128"/>
      <c r="F206" s="148" t="s">
        <v>2916</v>
      </c>
      <c r="G206" s="128">
        <f t="shared" si="25"/>
        <v>5.21</v>
      </c>
      <c r="H206" s="128"/>
      <c r="I206" s="128" t="str">
        <f t="shared" si="26"/>
        <v/>
      </c>
      <c r="J206" s="128"/>
      <c r="K206" s="128" t="str">
        <f t="shared" si="27"/>
        <v/>
      </c>
      <c r="L206" s="128"/>
      <c r="M206" s="128" t="str">
        <f t="shared" si="28"/>
        <v/>
      </c>
      <c r="N206" s="148"/>
      <c r="O206" s="128" t="str">
        <f t="shared" si="29"/>
        <v/>
      </c>
      <c r="P206" s="148"/>
      <c r="Q206" s="128" t="str">
        <f t="shared" si="30"/>
        <v/>
      </c>
      <c r="R206" s="148"/>
      <c r="S206" s="128" t="str">
        <f t="shared" si="31"/>
        <v/>
      </c>
      <c r="T206" s="47" t="str">
        <f t="shared" si="24"/>
        <v>OK!</v>
      </c>
      <c r="U206" s="157"/>
    </row>
    <row r="207" spans="2:21" ht="16.5" x14ac:dyDescent="0.3">
      <c r="B207" s="129" t="s">
        <v>2679</v>
      </c>
      <c r="C207" s="128">
        <v>27.3</v>
      </c>
      <c r="D207" s="128">
        <v>21.74</v>
      </c>
      <c r="E207" s="128"/>
      <c r="F207" s="148" t="s">
        <v>2916</v>
      </c>
      <c r="G207" s="128">
        <f t="shared" si="25"/>
        <v>27.3</v>
      </c>
      <c r="H207" s="128"/>
      <c r="I207" s="128" t="str">
        <f t="shared" si="26"/>
        <v/>
      </c>
      <c r="J207" s="128"/>
      <c r="K207" s="128" t="str">
        <f t="shared" si="27"/>
        <v/>
      </c>
      <c r="L207" s="128"/>
      <c r="M207" s="128" t="str">
        <f t="shared" si="28"/>
        <v/>
      </c>
      <c r="N207" s="148"/>
      <c r="O207" s="128" t="str">
        <f t="shared" si="29"/>
        <v/>
      </c>
      <c r="P207" s="148"/>
      <c r="Q207" s="128" t="str">
        <f t="shared" si="30"/>
        <v/>
      </c>
      <c r="R207" s="148"/>
      <c r="S207" s="128" t="str">
        <f t="shared" si="31"/>
        <v/>
      </c>
      <c r="T207" s="47" t="str">
        <f t="shared" si="24"/>
        <v>OK!</v>
      </c>
      <c r="U207" s="157"/>
    </row>
    <row r="208" spans="2:21" ht="16.5" x14ac:dyDescent="0.3">
      <c r="B208" s="129" t="s">
        <v>2680</v>
      </c>
      <c r="C208" s="128">
        <v>5.21</v>
      </c>
      <c r="D208" s="128">
        <v>10.01</v>
      </c>
      <c r="E208" s="128"/>
      <c r="F208" s="148" t="s">
        <v>2916</v>
      </c>
      <c r="G208" s="128">
        <f t="shared" si="25"/>
        <v>5.21</v>
      </c>
      <c r="H208" s="128"/>
      <c r="I208" s="128" t="str">
        <f t="shared" si="26"/>
        <v/>
      </c>
      <c r="J208" s="128"/>
      <c r="K208" s="128" t="str">
        <f t="shared" si="27"/>
        <v/>
      </c>
      <c r="L208" s="128"/>
      <c r="M208" s="128" t="str">
        <f t="shared" si="28"/>
        <v/>
      </c>
      <c r="N208" s="148"/>
      <c r="O208" s="128" t="str">
        <f t="shared" si="29"/>
        <v/>
      </c>
      <c r="P208" s="148"/>
      <c r="Q208" s="128" t="str">
        <f t="shared" si="30"/>
        <v/>
      </c>
      <c r="R208" s="148"/>
      <c r="S208" s="128" t="str">
        <f t="shared" si="31"/>
        <v/>
      </c>
      <c r="T208" s="47" t="str">
        <f t="shared" si="24"/>
        <v>OK!</v>
      </c>
      <c r="U208" s="158"/>
    </row>
    <row r="209" spans="1:21" ht="16.5" x14ac:dyDescent="0.3">
      <c r="B209" s="129" t="s">
        <v>2594</v>
      </c>
      <c r="C209" s="128">
        <v>119.42</v>
      </c>
      <c r="D209" s="128">
        <v>112.86</v>
      </c>
      <c r="E209" s="128"/>
      <c r="F209" s="148" t="s">
        <v>2916</v>
      </c>
      <c r="G209" s="128">
        <f t="shared" si="25"/>
        <v>119.42</v>
      </c>
      <c r="H209" s="128"/>
      <c r="I209" s="128" t="str">
        <f t="shared" si="26"/>
        <v/>
      </c>
      <c r="J209" s="128"/>
      <c r="K209" s="128" t="str">
        <f t="shared" si="27"/>
        <v/>
      </c>
      <c r="L209" s="128"/>
      <c r="M209" s="128" t="str">
        <f t="shared" si="28"/>
        <v/>
      </c>
      <c r="N209" s="148"/>
      <c r="O209" s="128" t="str">
        <f t="shared" si="29"/>
        <v/>
      </c>
      <c r="P209" s="148"/>
      <c r="Q209" s="128" t="str">
        <f t="shared" si="30"/>
        <v/>
      </c>
      <c r="R209" s="148"/>
      <c r="S209" s="128" t="str">
        <f t="shared" si="31"/>
        <v/>
      </c>
      <c r="T209" s="47" t="str">
        <f t="shared" si="24"/>
        <v>OK!</v>
      </c>
      <c r="U209" s="49"/>
    </row>
    <row r="210" spans="1:21" ht="16.5" x14ac:dyDescent="0.3">
      <c r="B210" s="136" t="s">
        <v>2727</v>
      </c>
      <c r="C210" s="128"/>
      <c r="D210" s="128"/>
      <c r="E210" s="128"/>
      <c r="F210" s="148"/>
      <c r="G210" s="128"/>
      <c r="H210" s="128"/>
      <c r="I210" s="128" t="str">
        <f t="shared" si="26"/>
        <v/>
      </c>
      <c r="J210" s="128"/>
      <c r="K210" s="128" t="str">
        <f t="shared" si="27"/>
        <v/>
      </c>
      <c r="L210" s="128"/>
      <c r="M210" s="128" t="str">
        <f t="shared" si="28"/>
        <v/>
      </c>
      <c r="N210" s="148"/>
      <c r="O210" s="128" t="str">
        <f t="shared" si="29"/>
        <v/>
      </c>
      <c r="P210" s="148"/>
      <c r="Q210" s="128" t="str">
        <f t="shared" si="30"/>
        <v/>
      </c>
      <c r="R210" s="148"/>
      <c r="S210" s="128" t="str">
        <f t="shared" si="31"/>
        <v/>
      </c>
      <c r="T210" s="47" t="str">
        <f t="shared" si="24"/>
        <v>OK!</v>
      </c>
      <c r="U210" s="49"/>
    </row>
    <row r="211" spans="1:21" ht="16.5" x14ac:dyDescent="0.3">
      <c r="B211" s="129" t="s">
        <v>2678</v>
      </c>
      <c r="C211" s="128">
        <v>4.6500000000000004</v>
      </c>
      <c r="D211" s="128">
        <v>9.4</v>
      </c>
      <c r="E211" s="128"/>
      <c r="F211" s="148" t="s">
        <v>2916</v>
      </c>
      <c r="G211" s="128">
        <f t="shared" si="25"/>
        <v>4.6500000000000004</v>
      </c>
      <c r="H211" s="128"/>
      <c r="I211" s="128" t="str">
        <f t="shared" si="26"/>
        <v/>
      </c>
      <c r="J211" s="128"/>
      <c r="K211" s="128" t="str">
        <f t="shared" si="27"/>
        <v/>
      </c>
      <c r="L211" s="128"/>
      <c r="M211" s="128" t="str">
        <f t="shared" si="28"/>
        <v/>
      </c>
      <c r="N211" s="148"/>
      <c r="O211" s="128" t="str">
        <f t="shared" si="29"/>
        <v/>
      </c>
      <c r="P211" s="148"/>
      <c r="Q211" s="128" t="str">
        <f t="shared" si="30"/>
        <v/>
      </c>
      <c r="R211" s="148"/>
      <c r="S211" s="128" t="str">
        <f t="shared" si="31"/>
        <v/>
      </c>
      <c r="T211" s="47" t="str">
        <f t="shared" si="24"/>
        <v>OK!</v>
      </c>
    </row>
    <row r="212" spans="1:21" ht="16.5" x14ac:dyDescent="0.3">
      <c r="B212" s="129" t="s">
        <v>2678</v>
      </c>
      <c r="C212" s="128">
        <v>4.7</v>
      </c>
      <c r="D212" s="128">
        <v>9.4</v>
      </c>
      <c r="E212" s="128"/>
      <c r="F212" s="148" t="s">
        <v>2916</v>
      </c>
      <c r="G212" s="128">
        <f t="shared" si="25"/>
        <v>4.7</v>
      </c>
      <c r="H212" s="128"/>
      <c r="I212" s="128" t="str">
        <f t="shared" si="26"/>
        <v/>
      </c>
      <c r="J212" s="128"/>
      <c r="K212" s="128" t="str">
        <f t="shared" si="27"/>
        <v/>
      </c>
      <c r="L212" s="128"/>
      <c r="M212" s="128" t="str">
        <f t="shared" si="28"/>
        <v/>
      </c>
      <c r="N212" s="148"/>
      <c r="O212" s="128" t="str">
        <f t="shared" si="29"/>
        <v/>
      </c>
      <c r="P212" s="148"/>
      <c r="Q212" s="128" t="str">
        <f t="shared" si="30"/>
        <v/>
      </c>
      <c r="R212" s="148"/>
      <c r="S212" s="128" t="str">
        <f t="shared" si="31"/>
        <v/>
      </c>
      <c r="T212" s="47" t="str">
        <f t="shared" si="24"/>
        <v>OK!</v>
      </c>
    </row>
    <row r="213" spans="1:21" ht="16.5" x14ac:dyDescent="0.3">
      <c r="B213" s="129" t="s">
        <v>2728</v>
      </c>
      <c r="C213" s="128">
        <v>13.59</v>
      </c>
      <c r="D213" s="128">
        <v>14.75</v>
      </c>
      <c r="E213" s="128"/>
      <c r="F213" s="148"/>
      <c r="G213" s="128" t="str">
        <f t="shared" si="25"/>
        <v/>
      </c>
      <c r="H213" s="128" t="s">
        <v>2916</v>
      </c>
      <c r="I213" s="128">
        <f t="shared" si="26"/>
        <v>13.59</v>
      </c>
      <c r="J213" s="128"/>
      <c r="K213" s="128" t="str">
        <f t="shared" si="27"/>
        <v/>
      </c>
      <c r="L213" s="128"/>
      <c r="M213" s="128" t="str">
        <f t="shared" si="28"/>
        <v/>
      </c>
      <c r="N213" s="148"/>
      <c r="O213" s="128" t="str">
        <f t="shared" si="29"/>
        <v/>
      </c>
      <c r="P213" s="148"/>
      <c r="Q213" s="128" t="str">
        <f t="shared" si="30"/>
        <v/>
      </c>
      <c r="R213" s="148"/>
      <c r="S213" s="128" t="str">
        <f t="shared" si="31"/>
        <v/>
      </c>
      <c r="T213" s="47" t="str">
        <f t="shared" si="24"/>
        <v>OK!</v>
      </c>
    </row>
    <row r="214" spans="1:21" ht="16.5" x14ac:dyDescent="0.3">
      <c r="B214" s="129" t="s">
        <v>2729</v>
      </c>
      <c r="C214" s="128">
        <f>178.13-20.54</f>
        <v>157.59</v>
      </c>
      <c r="D214" s="128">
        <v>62.28</v>
      </c>
      <c r="E214" s="128"/>
      <c r="F214" s="148"/>
      <c r="G214" s="128" t="str">
        <f t="shared" si="25"/>
        <v/>
      </c>
      <c r="H214" s="128" t="s">
        <v>2916</v>
      </c>
      <c r="I214" s="128">
        <f t="shared" si="26"/>
        <v>157.59</v>
      </c>
      <c r="J214" s="128"/>
      <c r="K214" s="128" t="str">
        <f t="shared" si="27"/>
        <v/>
      </c>
      <c r="L214" s="128"/>
      <c r="M214" s="128" t="str">
        <f t="shared" si="28"/>
        <v/>
      </c>
      <c r="N214" s="148"/>
      <c r="O214" s="128" t="str">
        <f t="shared" si="29"/>
        <v/>
      </c>
      <c r="P214" s="148"/>
      <c r="Q214" s="128" t="str">
        <f t="shared" si="30"/>
        <v/>
      </c>
      <c r="R214" s="148"/>
      <c r="S214" s="128" t="str">
        <f t="shared" si="31"/>
        <v/>
      </c>
      <c r="T214" s="47" t="str">
        <f t="shared" si="24"/>
        <v>OK!</v>
      </c>
    </row>
    <row r="215" spans="1:21" ht="16.5" x14ac:dyDescent="0.3">
      <c r="A215" s="130"/>
      <c r="B215" s="129" t="s">
        <v>2730</v>
      </c>
      <c r="C215" s="128">
        <v>16.45</v>
      </c>
      <c r="D215" s="128">
        <v>19</v>
      </c>
      <c r="E215" s="128"/>
      <c r="F215" s="148"/>
      <c r="G215" s="128" t="str">
        <f t="shared" si="25"/>
        <v/>
      </c>
      <c r="H215" s="128" t="s">
        <v>2916</v>
      </c>
      <c r="I215" s="128">
        <f t="shared" si="26"/>
        <v>16.45</v>
      </c>
      <c r="J215" s="128"/>
      <c r="K215" s="128" t="str">
        <f t="shared" si="27"/>
        <v/>
      </c>
      <c r="L215" s="128"/>
      <c r="M215" s="128" t="str">
        <f t="shared" si="28"/>
        <v/>
      </c>
      <c r="N215" s="148"/>
      <c r="O215" s="128" t="str">
        <f t="shared" si="29"/>
        <v/>
      </c>
      <c r="P215" s="148"/>
      <c r="Q215" s="128" t="str">
        <f t="shared" si="30"/>
        <v/>
      </c>
      <c r="R215" s="148"/>
      <c r="S215" s="128" t="str">
        <f t="shared" si="31"/>
        <v/>
      </c>
      <c r="T215" s="47" t="str">
        <f t="shared" si="24"/>
        <v>OK!</v>
      </c>
    </row>
    <row r="216" spans="1:21" ht="16.5" x14ac:dyDescent="0.3">
      <c r="B216" s="129" t="s">
        <v>2666</v>
      </c>
      <c r="C216" s="128">
        <v>6.23</v>
      </c>
      <c r="D216" s="128">
        <v>10.57</v>
      </c>
      <c r="E216" s="128"/>
      <c r="F216" s="148"/>
      <c r="G216" s="128" t="str">
        <f t="shared" si="25"/>
        <v/>
      </c>
      <c r="H216" s="128" t="s">
        <v>2916</v>
      </c>
      <c r="I216" s="128">
        <f t="shared" si="26"/>
        <v>6.23</v>
      </c>
      <c r="J216" s="128"/>
      <c r="K216" s="128" t="str">
        <f t="shared" si="27"/>
        <v/>
      </c>
      <c r="L216" s="128"/>
      <c r="M216" s="128" t="str">
        <f t="shared" si="28"/>
        <v/>
      </c>
      <c r="N216" s="148"/>
      <c r="O216" s="128" t="str">
        <f t="shared" si="29"/>
        <v/>
      </c>
      <c r="P216" s="148"/>
      <c r="Q216" s="128" t="str">
        <f t="shared" si="30"/>
        <v/>
      </c>
      <c r="R216" s="148"/>
      <c r="S216" s="128" t="str">
        <f t="shared" si="31"/>
        <v/>
      </c>
      <c r="T216" s="47" t="str">
        <f t="shared" si="24"/>
        <v>OK!</v>
      </c>
    </row>
    <row r="217" spans="1:21" ht="16.5" x14ac:dyDescent="0.3">
      <c r="B217" s="129" t="s">
        <v>2731</v>
      </c>
      <c r="C217" s="128">
        <v>6.25</v>
      </c>
      <c r="D217" s="128">
        <v>10.199999999999999</v>
      </c>
      <c r="E217" s="128"/>
      <c r="F217" s="148"/>
      <c r="G217" s="128" t="str">
        <f t="shared" si="25"/>
        <v/>
      </c>
      <c r="H217" s="128" t="s">
        <v>2916</v>
      </c>
      <c r="I217" s="128">
        <f t="shared" si="26"/>
        <v>6.25</v>
      </c>
      <c r="J217" s="128"/>
      <c r="K217" s="128" t="str">
        <f t="shared" si="27"/>
        <v/>
      </c>
      <c r="L217" s="128"/>
      <c r="M217" s="128" t="str">
        <f t="shared" si="28"/>
        <v/>
      </c>
      <c r="N217" s="148"/>
      <c r="O217" s="128" t="str">
        <f t="shared" si="29"/>
        <v/>
      </c>
      <c r="P217" s="148"/>
      <c r="Q217" s="128" t="str">
        <f t="shared" si="30"/>
        <v/>
      </c>
      <c r="R217" s="148"/>
      <c r="S217" s="128" t="str">
        <f t="shared" si="31"/>
        <v/>
      </c>
      <c r="T217" s="47" t="str">
        <f t="shared" si="24"/>
        <v>OK!</v>
      </c>
    </row>
    <row r="218" spans="1:21" ht="16.5" x14ac:dyDescent="0.3">
      <c r="B218" s="129" t="s">
        <v>2669</v>
      </c>
      <c r="C218" s="128">
        <v>4.51</v>
      </c>
      <c r="D218" s="128">
        <v>8.5</v>
      </c>
      <c r="E218" s="128"/>
      <c r="F218" s="148"/>
      <c r="G218" s="128" t="str">
        <f t="shared" si="25"/>
        <v/>
      </c>
      <c r="H218" s="128" t="s">
        <v>2916</v>
      </c>
      <c r="I218" s="128">
        <f t="shared" si="26"/>
        <v>4.51</v>
      </c>
      <c r="J218" s="128"/>
      <c r="K218" s="128" t="str">
        <f t="shared" si="27"/>
        <v/>
      </c>
      <c r="L218" s="128"/>
      <c r="M218" s="128" t="str">
        <f t="shared" si="28"/>
        <v/>
      </c>
      <c r="N218" s="148"/>
      <c r="O218" s="128" t="str">
        <f t="shared" si="29"/>
        <v/>
      </c>
      <c r="P218" s="148"/>
      <c r="Q218" s="128" t="str">
        <f t="shared" si="30"/>
        <v/>
      </c>
      <c r="R218" s="148"/>
      <c r="S218" s="128" t="str">
        <f t="shared" si="31"/>
        <v/>
      </c>
      <c r="T218" s="47" t="str">
        <f t="shared" si="24"/>
        <v>OK!</v>
      </c>
    </row>
    <row r="219" spans="1:21" ht="16.5" x14ac:dyDescent="0.3">
      <c r="B219" s="129" t="s">
        <v>2732</v>
      </c>
      <c r="C219" s="128">
        <v>2.13</v>
      </c>
      <c r="D219" s="128">
        <v>6.55</v>
      </c>
      <c r="E219" s="128"/>
      <c r="F219" s="148" t="s">
        <v>2916</v>
      </c>
      <c r="G219" s="128">
        <f t="shared" si="25"/>
        <v>2.13</v>
      </c>
      <c r="H219" s="128"/>
      <c r="I219" s="128" t="str">
        <f t="shared" si="26"/>
        <v/>
      </c>
      <c r="J219" s="128"/>
      <c r="K219" s="128" t="str">
        <f t="shared" si="27"/>
        <v/>
      </c>
      <c r="L219" s="128"/>
      <c r="M219" s="128" t="str">
        <f t="shared" si="28"/>
        <v/>
      </c>
      <c r="N219" s="148"/>
      <c r="O219" s="128" t="str">
        <f t="shared" si="29"/>
        <v/>
      </c>
      <c r="P219" s="148"/>
      <c r="Q219" s="128" t="str">
        <f t="shared" si="30"/>
        <v/>
      </c>
      <c r="R219" s="148"/>
      <c r="S219" s="128" t="str">
        <f t="shared" si="31"/>
        <v/>
      </c>
      <c r="T219" s="47" t="str">
        <f t="shared" si="24"/>
        <v>OK!</v>
      </c>
    </row>
    <row r="220" spans="1:21" ht="16.5" x14ac:dyDescent="0.3">
      <c r="B220" s="129" t="s">
        <v>2733</v>
      </c>
      <c r="C220" s="128">
        <v>2.2000000000000002</v>
      </c>
      <c r="D220" s="128">
        <v>6.2</v>
      </c>
      <c r="E220" s="128"/>
      <c r="F220" s="148" t="s">
        <v>2916</v>
      </c>
      <c r="G220" s="128">
        <f t="shared" si="25"/>
        <v>2.2000000000000002</v>
      </c>
      <c r="H220" s="128"/>
      <c r="I220" s="128" t="str">
        <f t="shared" si="26"/>
        <v/>
      </c>
      <c r="J220" s="128"/>
      <c r="K220" s="128" t="str">
        <f t="shared" si="27"/>
        <v/>
      </c>
      <c r="L220" s="128"/>
      <c r="M220" s="128" t="str">
        <f t="shared" si="28"/>
        <v/>
      </c>
      <c r="N220" s="148"/>
      <c r="O220" s="128" t="str">
        <f t="shared" si="29"/>
        <v/>
      </c>
      <c r="P220" s="148"/>
      <c r="Q220" s="128" t="str">
        <f t="shared" si="30"/>
        <v/>
      </c>
      <c r="R220" s="148"/>
      <c r="S220" s="128" t="str">
        <f t="shared" si="31"/>
        <v/>
      </c>
      <c r="T220" s="47" t="str">
        <f t="shared" si="24"/>
        <v>OK!</v>
      </c>
    </row>
    <row r="221" spans="1:21" ht="16.5" x14ac:dyDescent="0.3">
      <c r="B221" s="129" t="s">
        <v>2734</v>
      </c>
      <c r="C221" s="128">
        <v>12.71</v>
      </c>
      <c r="D221" s="128">
        <v>17.510000000000002</v>
      </c>
      <c r="E221" s="128"/>
      <c r="F221" s="148" t="s">
        <v>2916</v>
      </c>
      <c r="G221" s="128">
        <f t="shared" si="25"/>
        <v>12.71</v>
      </c>
      <c r="H221" s="128"/>
      <c r="I221" s="128" t="str">
        <f t="shared" si="26"/>
        <v/>
      </c>
      <c r="J221" s="128"/>
      <c r="K221" s="128" t="str">
        <f t="shared" si="27"/>
        <v/>
      </c>
      <c r="L221" s="128"/>
      <c r="M221" s="128" t="str">
        <f t="shared" si="28"/>
        <v/>
      </c>
      <c r="N221" s="148"/>
      <c r="O221" s="128" t="str">
        <f t="shared" si="29"/>
        <v/>
      </c>
      <c r="P221" s="148"/>
      <c r="Q221" s="128" t="str">
        <f t="shared" si="30"/>
        <v/>
      </c>
      <c r="R221" s="148"/>
      <c r="S221" s="128" t="str">
        <f t="shared" si="31"/>
        <v/>
      </c>
      <c r="T221" s="47" t="str">
        <f t="shared" si="24"/>
        <v>OK!</v>
      </c>
    </row>
    <row r="222" spans="1:21" ht="16.5" x14ac:dyDescent="0.3">
      <c r="B222" s="129" t="s">
        <v>2735</v>
      </c>
      <c r="C222" s="128">
        <v>7.51</v>
      </c>
      <c r="D222" s="128">
        <v>10.98</v>
      </c>
      <c r="E222" s="128"/>
      <c r="F222" s="148" t="s">
        <v>2916</v>
      </c>
      <c r="G222" s="128">
        <f t="shared" si="25"/>
        <v>7.51</v>
      </c>
      <c r="H222" s="128"/>
      <c r="I222" s="128" t="str">
        <f t="shared" si="26"/>
        <v/>
      </c>
      <c r="J222" s="128"/>
      <c r="K222" s="128" t="str">
        <f t="shared" si="27"/>
        <v/>
      </c>
      <c r="L222" s="128"/>
      <c r="M222" s="128" t="str">
        <f t="shared" si="28"/>
        <v/>
      </c>
      <c r="N222" s="148"/>
      <c r="O222" s="128" t="str">
        <f t="shared" si="29"/>
        <v/>
      </c>
      <c r="P222" s="148"/>
      <c r="Q222" s="128" t="str">
        <f t="shared" si="30"/>
        <v/>
      </c>
      <c r="R222" s="148"/>
      <c r="S222" s="128" t="str">
        <f t="shared" si="31"/>
        <v/>
      </c>
      <c r="T222" s="47" t="str">
        <f t="shared" si="24"/>
        <v>OK!</v>
      </c>
    </row>
    <row r="223" spans="1:21" ht="16.5" x14ac:dyDescent="0.3">
      <c r="B223" s="129" t="s">
        <v>2736</v>
      </c>
      <c r="C223" s="128">
        <v>7.53</v>
      </c>
      <c r="D223" s="128">
        <v>10.99</v>
      </c>
      <c r="E223" s="128"/>
      <c r="F223" s="148" t="s">
        <v>2916</v>
      </c>
      <c r="G223" s="128">
        <f t="shared" si="25"/>
        <v>7.53</v>
      </c>
      <c r="H223" s="128"/>
      <c r="I223" s="128" t="str">
        <f t="shared" si="26"/>
        <v/>
      </c>
      <c r="J223" s="128"/>
      <c r="K223" s="128" t="str">
        <f t="shared" si="27"/>
        <v/>
      </c>
      <c r="L223" s="128"/>
      <c r="M223" s="128" t="str">
        <f t="shared" si="28"/>
        <v/>
      </c>
      <c r="N223" s="148"/>
      <c r="O223" s="128" t="str">
        <f t="shared" si="29"/>
        <v/>
      </c>
      <c r="P223" s="148"/>
      <c r="Q223" s="128" t="str">
        <f t="shared" si="30"/>
        <v/>
      </c>
      <c r="R223" s="148"/>
      <c r="S223" s="128" t="str">
        <f t="shared" si="31"/>
        <v/>
      </c>
      <c r="T223" s="47" t="str">
        <f t="shared" si="24"/>
        <v>OK!</v>
      </c>
    </row>
    <row r="224" spans="1:21" ht="16.5" x14ac:dyDescent="0.3">
      <c r="B224" s="129" t="s">
        <v>2594</v>
      </c>
      <c r="C224" s="128">
        <v>19.38</v>
      </c>
      <c r="D224" s="128">
        <v>24.19</v>
      </c>
      <c r="E224" s="128"/>
      <c r="F224" s="148" t="s">
        <v>2916</v>
      </c>
      <c r="G224" s="128">
        <f t="shared" si="25"/>
        <v>19.38</v>
      </c>
      <c r="H224" s="128"/>
      <c r="I224" s="128" t="str">
        <f t="shared" si="26"/>
        <v/>
      </c>
      <c r="J224" s="128"/>
      <c r="K224" s="128" t="str">
        <f t="shared" si="27"/>
        <v/>
      </c>
      <c r="L224" s="128"/>
      <c r="M224" s="128" t="str">
        <f t="shared" si="28"/>
        <v/>
      </c>
      <c r="N224" s="148"/>
      <c r="O224" s="128" t="str">
        <f t="shared" si="29"/>
        <v/>
      </c>
      <c r="P224" s="148"/>
      <c r="Q224" s="128" t="str">
        <f t="shared" si="30"/>
        <v/>
      </c>
      <c r="R224" s="148"/>
      <c r="S224" s="128" t="str">
        <f t="shared" si="31"/>
        <v/>
      </c>
      <c r="T224" s="47" t="str">
        <f t="shared" si="24"/>
        <v>OK!</v>
      </c>
    </row>
    <row r="225" spans="2:20" ht="16.5" x14ac:dyDescent="0.3">
      <c r="B225" s="129" t="s">
        <v>2591</v>
      </c>
      <c r="C225" s="128">
        <v>2.64</v>
      </c>
      <c r="D225" s="128">
        <v>6.53</v>
      </c>
      <c r="E225" s="128"/>
      <c r="F225" s="148" t="s">
        <v>2916</v>
      </c>
      <c r="G225" s="128">
        <f t="shared" si="25"/>
        <v>2.64</v>
      </c>
      <c r="H225" s="128"/>
      <c r="I225" s="128" t="str">
        <f t="shared" si="26"/>
        <v/>
      </c>
      <c r="J225" s="128"/>
      <c r="K225" s="128" t="str">
        <f t="shared" si="27"/>
        <v/>
      </c>
      <c r="L225" s="128"/>
      <c r="M225" s="128" t="str">
        <f t="shared" si="28"/>
        <v/>
      </c>
      <c r="N225" s="148"/>
      <c r="O225" s="128" t="str">
        <f t="shared" si="29"/>
        <v/>
      </c>
      <c r="P225" s="148"/>
      <c r="Q225" s="128" t="str">
        <f t="shared" si="30"/>
        <v/>
      </c>
      <c r="R225" s="148"/>
      <c r="S225" s="128" t="str">
        <f t="shared" si="31"/>
        <v/>
      </c>
      <c r="T225" s="47" t="str">
        <f t="shared" si="24"/>
        <v>OK!</v>
      </c>
    </row>
    <row r="226" spans="2:20" ht="16.5" x14ac:dyDescent="0.3">
      <c r="B226" s="129" t="s">
        <v>2737</v>
      </c>
      <c r="C226" s="128">
        <v>3.28</v>
      </c>
      <c r="D226" s="128">
        <v>7.42</v>
      </c>
      <c r="E226" s="128"/>
      <c r="F226" s="148" t="s">
        <v>2916</v>
      </c>
      <c r="G226" s="128">
        <f t="shared" si="25"/>
        <v>3.28</v>
      </c>
      <c r="H226" s="128"/>
      <c r="I226" s="128" t="str">
        <f t="shared" si="26"/>
        <v/>
      </c>
      <c r="J226" s="128"/>
      <c r="K226" s="128" t="str">
        <f t="shared" si="27"/>
        <v/>
      </c>
      <c r="L226" s="128"/>
      <c r="M226" s="128" t="str">
        <f t="shared" si="28"/>
        <v/>
      </c>
      <c r="N226" s="148"/>
      <c r="O226" s="128" t="str">
        <f t="shared" si="29"/>
        <v/>
      </c>
      <c r="P226" s="148"/>
      <c r="Q226" s="128" t="str">
        <f t="shared" si="30"/>
        <v/>
      </c>
      <c r="R226" s="148"/>
      <c r="S226" s="128" t="str">
        <f t="shared" si="31"/>
        <v/>
      </c>
      <c r="T226" s="47" t="str">
        <f t="shared" si="24"/>
        <v>OK!</v>
      </c>
    </row>
    <row r="227" spans="2:20" ht="16.5" x14ac:dyDescent="0.3">
      <c r="B227" s="129" t="s">
        <v>2738</v>
      </c>
      <c r="C227" s="128">
        <v>9.24</v>
      </c>
      <c r="D227" s="128">
        <v>12.8</v>
      </c>
      <c r="E227" s="128"/>
      <c r="F227" s="148" t="s">
        <v>2916</v>
      </c>
      <c r="G227" s="128">
        <f t="shared" si="25"/>
        <v>9.24</v>
      </c>
      <c r="H227" s="128"/>
      <c r="I227" s="128" t="str">
        <f t="shared" si="26"/>
        <v/>
      </c>
      <c r="J227" s="128"/>
      <c r="K227" s="128" t="str">
        <f t="shared" si="27"/>
        <v/>
      </c>
      <c r="L227" s="128"/>
      <c r="M227" s="128" t="str">
        <f t="shared" si="28"/>
        <v/>
      </c>
      <c r="N227" s="148"/>
      <c r="O227" s="128" t="str">
        <f t="shared" si="29"/>
        <v/>
      </c>
      <c r="P227" s="148"/>
      <c r="Q227" s="128" t="str">
        <f t="shared" si="30"/>
        <v/>
      </c>
      <c r="R227" s="148"/>
      <c r="S227" s="128" t="str">
        <f t="shared" si="31"/>
        <v/>
      </c>
      <c r="T227" s="47" t="str">
        <f t="shared" si="24"/>
        <v>OK!</v>
      </c>
    </row>
    <row r="228" spans="2:20" ht="16.5" x14ac:dyDescent="0.3">
      <c r="B228" s="129" t="s">
        <v>2739</v>
      </c>
      <c r="C228" s="128">
        <v>9.24</v>
      </c>
      <c r="D228" s="128">
        <v>12.8</v>
      </c>
      <c r="E228" s="128"/>
      <c r="F228" s="148" t="s">
        <v>2916</v>
      </c>
      <c r="G228" s="128">
        <f t="shared" si="25"/>
        <v>9.24</v>
      </c>
      <c r="H228" s="128"/>
      <c r="I228" s="128" t="str">
        <f t="shared" si="26"/>
        <v/>
      </c>
      <c r="J228" s="128"/>
      <c r="K228" s="128" t="str">
        <f t="shared" si="27"/>
        <v/>
      </c>
      <c r="L228" s="128"/>
      <c r="M228" s="128" t="str">
        <f t="shared" si="28"/>
        <v/>
      </c>
      <c r="N228" s="148"/>
      <c r="O228" s="128" t="str">
        <f t="shared" si="29"/>
        <v/>
      </c>
      <c r="P228" s="148"/>
      <c r="Q228" s="128" t="str">
        <f t="shared" si="30"/>
        <v/>
      </c>
      <c r="R228" s="148"/>
      <c r="S228" s="128" t="str">
        <f t="shared" si="31"/>
        <v/>
      </c>
      <c r="T228" s="47" t="str">
        <f t="shared" si="24"/>
        <v>OK!</v>
      </c>
    </row>
    <row r="229" spans="2:20" ht="16.5" x14ac:dyDescent="0.3">
      <c r="B229" s="129" t="s">
        <v>2611</v>
      </c>
      <c r="C229" s="128">
        <v>4.12</v>
      </c>
      <c r="D229" s="128">
        <v>8.15</v>
      </c>
      <c r="E229" s="128"/>
      <c r="F229" s="148" t="s">
        <v>2916</v>
      </c>
      <c r="G229" s="128">
        <f t="shared" si="25"/>
        <v>4.12</v>
      </c>
      <c r="H229" s="128"/>
      <c r="I229" s="128" t="str">
        <f t="shared" si="26"/>
        <v/>
      </c>
      <c r="J229" s="128"/>
      <c r="K229" s="128" t="str">
        <f t="shared" si="27"/>
        <v/>
      </c>
      <c r="L229" s="128"/>
      <c r="M229" s="128" t="str">
        <f t="shared" si="28"/>
        <v/>
      </c>
      <c r="N229" s="148"/>
      <c r="O229" s="128" t="str">
        <f t="shared" si="29"/>
        <v/>
      </c>
      <c r="P229" s="148"/>
      <c r="Q229" s="128" t="str">
        <f t="shared" si="30"/>
        <v/>
      </c>
      <c r="R229" s="148"/>
      <c r="S229" s="128" t="str">
        <f t="shared" si="31"/>
        <v/>
      </c>
      <c r="T229" s="47" t="str">
        <f t="shared" si="24"/>
        <v>OK!</v>
      </c>
    </row>
    <row r="230" spans="2:20" ht="16.5" x14ac:dyDescent="0.3">
      <c r="B230" s="129" t="s">
        <v>2740</v>
      </c>
      <c r="C230" s="128">
        <v>8.4499999999999993</v>
      </c>
      <c r="D230" s="128">
        <v>12.14</v>
      </c>
      <c r="E230" s="128"/>
      <c r="F230" s="148" t="s">
        <v>2916</v>
      </c>
      <c r="G230" s="128">
        <f t="shared" si="25"/>
        <v>8.4499999999999993</v>
      </c>
      <c r="H230" s="128"/>
      <c r="I230" s="128" t="str">
        <f t="shared" si="26"/>
        <v/>
      </c>
      <c r="J230" s="128"/>
      <c r="K230" s="128" t="str">
        <f t="shared" si="27"/>
        <v/>
      </c>
      <c r="L230" s="128"/>
      <c r="M230" s="128" t="str">
        <f t="shared" si="28"/>
        <v/>
      </c>
      <c r="N230" s="148"/>
      <c r="O230" s="128" t="str">
        <f t="shared" si="29"/>
        <v/>
      </c>
      <c r="P230" s="148"/>
      <c r="Q230" s="128" t="str">
        <f t="shared" si="30"/>
        <v/>
      </c>
      <c r="R230" s="148"/>
      <c r="S230" s="128" t="str">
        <f t="shared" si="31"/>
        <v/>
      </c>
      <c r="T230" s="47" t="str">
        <f t="shared" si="24"/>
        <v>OK!</v>
      </c>
    </row>
    <row r="231" spans="2:20" ht="16.5" x14ac:dyDescent="0.3">
      <c r="B231" s="129" t="s">
        <v>2741</v>
      </c>
      <c r="C231" s="128">
        <v>6.93</v>
      </c>
      <c r="D231" s="128">
        <v>10.78</v>
      </c>
      <c r="E231" s="128"/>
      <c r="F231" s="148" t="s">
        <v>2916</v>
      </c>
      <c r="G231" s="128">
        <f t="shared" si="25"/>
        <v>6.93</v>
      </c>
      <c r="H231" s="128"/>
      <c r="I231" s="128" t="str">
        <f t="shared" si="26"/>
        <v/>
      </c>
      <c r="J231" s="128"/>
      <c r="K231" s="128" t="str">
        <f t="shared" si="27"/>
        <v/>
      </c>
      <c r="L231" s="128"/>
      <c r="M231" s="128" t="str">
        <f t="shared" si="28"/>
        <v/>
      </c>
      <c r="N231" s="148"/>
      <c r="O231" s="128" t="str">
        <f t="shared" si="29"/>
        <v/>
      </c>
      <c r="P231" s="148"/>
      <c r="Q231" s="128" t="str">
        <f t="shared" si="30"/>
        <v/>
      </c>
      <c r="R231" s="148"/>
      <c r="S231" s="128" t="str">
        <f t="shared" si="31"/>
        <v/>
      </c>
      <c r="T231" s="47" t="str">
        <f t="shared" si="24"/>
        <v>OK!</v>
      </c>
    </row>
    <row r="232" spans="2:20" ht="16.5" x14ac:dyDescent="0.3">
      <c r="B232" s="129" t="s">
        <v>2591</v>
      </c>
      <c r="C232" s="128">
        <v>2.63</v>
      </c>
      <c r="D232" s="128">
        <v>6.79</v>
      </c>
      <c r="E232" s="128"/>
      <c r="F232" s="148" t="s">
        <v>2916</v>
      </c>
      <c r="G232" s="128">
        <f t="shared" si="25"/>
        <v>2.63</v>
      </c>
      <c r="H232" s="128"/>
      <c r="I232" s="128" t="str">
        <f t="shared" si="26"/>
        <v/>
      </c>
      <c r="J232" s="128"/>
      <c r="K232" s="128" t="str">
        <f t="shared" si="27"/>
        <v/>
      </c>
      <c r="L232" s="128"/>
      <c r="M232" s="128" t="str">
        <f t="shared" si="28"/>
        <v/>
      </c>
      <c r="N232" s="148"/>
      <c r="O232" s="128" t="str">
        <f t="shared" si="29"/>
        <v/>
      </c>
      <c r="P232" s="148"/>
      <c r="Q232" s="128" t="str">
        <f t="shared" si="30"/>
        <v/>
      </c>
      <c r="R232" s="148"/>
      <c r="S232" s="128" t="str">
        <f t="shared" si="31"/>
        <v/>
      </c>
      <c r="T232" s="47" t="str">
        <f t="shared" si="24"/>
        <v>OK!</v>
      </c>
    </row>
    <row r="233" spans="2:20" ht="16.5" x14ac:dyDescent="0.3">
      <c r="B233" s="129" t="s">
        <v>2660</v>
      </c>
      <c r="C233" s="128">
        <v>2.41</v>
      </c>
      <c r="D233" s="128">
        <v>6.59</v>
      </c>
      <c r="E233" s="128"/>
      <c r="F233" s="148" t="s">
        <v>2916</v>
      </c>
      <c r="G233" s="128">
        <f t="shared" si="25"/>
        <v>2.41</v>
      </c>
      <c r="H233" s="128"/>
      <c r="I233" s="128" t="str">
        <f t="shared" si="26"/>
        <v/>
      </c>
      <c r="J233" s="128"/>
      <c r="K233" s="128" t="str">
        <f t="shared" si="27"/>
        <v/>
      </c>
      <c r="L233" s="128"/>
      <c r="M233" s="128" t="str">
        <f t="shared" si="28"/>
        <v/>
      </c>
      <c r="N233" s="148"/>
      <c r="O233" s="128" t="str">
        <f t="shared" si="29"/>
        <v/>
      </c>
      <c r="P233" s="148"/>
      <c r="Q233" s="128" t="str">
        <f t="shared" si="30"/>
        <v/>
      </c>
      <c r="R233" s="148"/>
      <c r="S233" s="128" t="str">
        <f t="shared" si="31"/>
        <v/>
      </c>
      <c r="T233" s="47" t="str">
        <f t="shared" si="24"/>
        <v>OK!</v>
      </c>
    </row>
    <row r="234" spans="2:20" ht="16.5" x14ac:dyDescent="0.3">
      <c r="B234" s="129" t="s">
        <v>2661</v>
      </c>
      <c r="C234" s="128">
        <v>1.92</v>
      </c>
      <c r="D234" s="128">
        <v>5.7</v>
      </c>
      <c r="E234" s="128"/>
      <c r="F234" s="148" t="s">
        <v>2916</v>
      </c>
      <c r="G234" s="128">
        <f t="shared" si="25"/>
        <v>1.92</v>
      </c>
      <c r="H234" s="128"/>
      <c r="I234" s="128" t="str">
        <f t="shared" si="26"/>
        <v/>
      </c>
      <c r="J234" s="128"/>
      <c r="K234" s="128" t="str">
        <f t="shared" si="27"/>
        <v/>
      </c>
      <c r="L234" s="128"/>
      <c r="M234" s="128" t="str">
        <f t="shared" si="28"/>
        <v/>
      </c>
      <c r="N234" s="148"/>
      <c r="O234" s="128" t="str">
        <f t="shared" si="29"/>
        <v/>
      </c>
      <c r="P234" s="148"/>
      <c r="Q234" s="128" t="str">
        <f t="shared" si="30"/>
        <v/>
      </c>
      <c r="R234" s="148"/>
      <c r="S234" s="128" t="str">
        <f t="shared" si="31"/>
        <v/>
      </c>
      <c r="T234" s="47" t="str">
        <f t="shared" si="24"/>
        <v>OK!</v>
      </c>
    </row>
    <row r="235" spans="2:20" ht="16.5" x14ac:dyDescent="0.3">
      <c r="B235" s="129" t="s">
        <v>2742</v>
      </c>
      <c r="C235" s="128">
        <v>4.54</v>
      </c>
      <c r="D235" s="128">
        <v>8.69</v>
      </c>
      <c r="E235" s="128"/>
      <c r="F235" s="148" t="s">
        <v>2916</v>
      </c>
      <c r="G235" s="128">
        <f t="shared" si="25"/>
        <v>4.54</v>
      </c>
      <c r="H235" s="128"/>
      <c r="I235" s="128" t="str">
        <f t="shared" si="26"/>
        <v/>
      </c>
      <c r="J235" s="128"/>
      <c r="K235" s="128" t="str">
        <f t="shared" si="27"/>
        <v/>
      </c>
      <c r="L235" s="128"/>
      <c r="M235" s="128" t="str">
        <f t="shared" si="28"/>
        <v/>
      </c>
      <c r="N235" s="148"/>
      <c r="O235" s="128" t="str">
        <f t="shared" si="29"/>
        <v/>
      </c>
      <c r="P235" s="148"/>
      <c r="Q235" s="128" t="str">
        <f t="shared" si="30"/>
        <v/>
      </c>
      <c r="R235" s="148"/>
      <c r="S235" s="128" t="str">
        <f t="shared" si="31"/>
        <v/>
      </c>
      <c r="T235" s="47" t="str">
        <f t="shared" si="24"/>
        <v>OK!</v>
      </c>
    </row>
    <row r="236" spans="2:20" ht="16.5" x14ac:dyDescent="0.3">
      <c r="B236" s="129" t="s">
        <v>2743</v>
      </c>
      <c r="C236" s="128">
        <v>11.68</v>
      </c>
      <c r="D236" s="128">
        <v>14.15</v>
      </c>
      <c r="E236" s="128"/>
      <c r="F236" s="148" t="s">
        <v>2916</v>
      </c>
      <c r="G236" s="128">
        <f t="shared" si="25"/>
        <v>11.68</v>
      </c>
      <c r="H236" s="128"/>
      <c r="I236" s="128" t="str">
        <f t="shared" si="26"/>
        <v/>
      </c>
      <c r="J236" s="128"/>
      <c r="K236" s="128" t="str">
        <f t="shared" si="27"/>
        <v/>
      </c>
      <c r="L236" s="128"/>
      <c r="M236" s="128" t="str">
        <f t="shared" si="28"/>
        <v/>
      </c>
      <c r="N236" s="148"/>
      <c r="O236" s="128" t="str">
        <f t="shared" si="29"/>
        <v/>
      </c>
      <c r="P236" s="148"/>
      <c r="Q236" s="128" t="str">
        <f t="shared" si="30"/>
        <v/>
      </c>
      <c r="R236" s="148"/>
      <c r="S236" s="128" t="str">
        <f t="shared" si="31"/>
        <v/>
      </c>
      <c r="T236" s="47" t="str">
        <f t="shared" si="24"/>
        <v>OK!</v>
      </c>
    </row>
    <row r="237" spans="2:20" ht="16.5" x14ac:dyDescent="0.3">
      <c r="B237" s="129" t="s">
        <v>2744</v>
      </c>
      <c r="C237" s="128">
        <v>7.84</v>
      </c>
      <c r="D237" s="128">
        <v>11.2</v>
      </c>
      <c r="E237" s="128"/>
      <c r="F237" s="148" t="s">
        <v>2916</v>
      </c>
      <c r="G237" s="128">
        <f t="shared" si="25"/>
        <v>7.84</v>
      </c>
      <c r="H237" s="128"/>
      <c r="I237" s="128" t="str">
        <f t="shared" si="26"/>
        <v/>
      </c>
      <c r="J237" s="128"/>
      <c r="K237" s="128" t="str">
        <f t="shared" si="27"/>
        <v/>
      </c>
      <c r="L237" s="128"/>
      <c r="M237" s="128" t="str">
        <f t="shared" si="28"/>
        <v/>
      </c>
      <c r="N237" s="148"/>
      <c r="O237" s="128" t="str">
        <f t="shared" si="29"/>
        <v/>
      </c>
      <c r="P237" s="148"/>
      <c r="Q237" s="128" t="str">
        <f t="shared" si="30"/>
        <v/>
      </c>
      <c r="R237" s="148"/>
      <c r="S237" s="128" t="str">
        <f t="shared" si="31"/>
        <v/>
      </c>
      <c r="T237" s="47" t="str">
        <f t="shared" si="24"/>
        <v>OK!</v>
      </c>
    </row>
    <row r="238" spans="2:20" ht="16.5" x14ac:dyDescent="0.3">
      <c r="B238" s="129" t="s">
        <v>2745</v>
      </c>
      <c r="C238" s="128">
        <v>7.84</v>
      </c>
      <c r="D238" s="128">
        <v>11.2</v>
      </c>
      <c r="E238" s="128"/>
      <c r="F238" s="148" t="s">
        <v>2916</v>
      </c>
      <c r="G238" s="128">
        <f t="shared" si="25"/>
        <v>7.84</v>
      </c>
      <c r="H238" s="128"/>
      <c r="I238" s="128" t="str">
        <f t="shared" si="26"/>
        <v/>
      </c>
      <c r="J238" s="128"/>
      <c r="K238" s="128" t="str">
        <f t="shared" si="27"/>
        <v/>
      </c>
      <c r="L238" s="128"/>
      <c r="M238" s="128" t="str">
        <f t="shared" si="28"/>
        <v/>
      </c>
      <c r="N238" s="148"/>
      <c r="O238" s="128" t="str">
        <f t="shared" si="29"/>
        <v/>
      </c>
      <c r="P238" s="148"/>
      <c r="Q238" s="128" t="str">
        <f t="shared" si="30"/>
        <v/>
      </c>
      <c r="R238" s="148"/>
      <c r="S238" s="128" t="str">
        <f t="shared" si="31"/>
        <v/>
      </c>
      <c r="T238" s="47" t="str">
        <f t="shared" si="24"/>
        <v>OK!</v>
      </c>
    </row>
    <row r="239" spans="2:20" ht="16.5" x14ac:dyDescent="0.3">
      <c r="B239" s="129" t="s">
        <v>2746</v>
      </c>
      <c r="C239" s="128">
        <v>8.52</v>
      </c>
      <c r="D239" s="128">
        <v>11.68</v>
      </c>
      <c r="E239" s="128"/>
      <c r="F239" s="148" t="s">
        <v>2916</v>
      </c>
      <c r="G239" s="128">
        <f t="shared" si="25"/>
        <v>8.52</v>
      </c>
      <c r="H239" s="128"/>
      <c r="I239" s="128" t="str">
        <f t="shared" si="26"/>
        <v/>
      </c>
      <c r="J239" s="128"/>
      <c r="K239" s="128" t="str">
        <f t="shared" si="27"/>
        <v/>
      </c>
      <c r="L239" s="128"/>
      <c r="M239" s="128" t="str">
        <f t="shared" si="28"/>
        <v/>
      </c>
      <c r="N239" s="148"/>
      <c r="O239" s="128" t="str">
        <f t="shared" si="29"/>
        <v/>
      </c>
      <c r="P239" s="148"/>
      <c r="Q239" s="128" t="str">
        <f t="shared" si="30"/>
        <v/>
      </c>
      <c r="R239" s="148"/>
      <c r="S239" s="128" t="str">
        <f t="shared" si="31"/>
        <v/>
      </c>
      <c r="T239" s="47" t="str">
        <f t="shared" si="24"/>
        <v>OK!</v>
      </c>
    </row>
    <row r="240" spans="2:20" ht="16.5" x14ac:dyDescent="0.3">
      <c r="B240" s="129" t="s">
        <v>2747</v>
      </c>
      <c r="C240" s="128">
        <v>10.57</v>
      </c>
      <c r="D240" s="128">
        <v>17.100000000000001</v>
      </c>
      <c r="E240" s="128"/>
      <c r="F240" s="148" t="s">
        <v>2916</v>
      </c>
      <c r="G240" s="128">
        <f t="shared" si="25"/>
        <v>10.57</v>
      </c>
      <c r="H240" s="128"/>
      <c r="I240" s="128" t="str">
        <f t="shared" si="26"/>
        <v/>
      </c>
      <c r="J240" s="128"/>
      <c r="K240" s="128" t="str">
        <f t="shared" si="27"/>
        <v/>
      </c>
      <c r="L240" s="128"/>
      <c r="M240" s="128" t="str">
        <f t="shared" si="28"/>
        <v/>
      </c>
      <c r="N240" s="148"/>
      <c r="O240" s="128" t="str">
        <f t="shared" si="29"/>
        <v/>
      </c>
      <c r="P240" s="148"/>
      <c r="Q240" s="128" t="str">
        <f t="shared" si="30"/>
        <v/>
      </c>
      <c r="R240" s="148"/>
      <c r="S240" s="128" t="str">
        <f t="shared" si="31"/>
        <v/>
      </c>
      <c r="T240" s="47" t="str">
        <f t="shared" si="24"/>
        <v>OK!</v>
      </c>
    </row>
    <row r="241" spans="2:21" ht="16.5" x14ac:dyDescent="0.3">
      <c r="B241" s="136" t="s">
        <v>2748</v>
      </c>
      <c r="C241" s="128"/>
      <c r="D241" s="128"/>
      <c r="E241" s="128"/>
      <c r="F241" s="148"/>
      <c r="G241" s="128"/>
      <c r="H241" s="128"/>
      <c r="I241" s="128" t="str">
        <f t="shared" si="26"/>
        <v/>
      </c>
      <c r="J241" s="128"/>
      <c r="K241" s="128" t="str">
        <f t="shared" si="27"/>
        <v/>
      </c>
      <c r="L241" s="128"/>
      <c r="M241" s="128" t="str">
        <f t="shared" si="28"/>
        <v/>
      </c>
      <c r="N241" s="148"/>
      <c r="O241" s="128" t="str">
        <f t="shared" si="29"/>
        <v/>
      </c>
      <c r="P241" s="148"/>
      <c r="Q241" s="128" t="str">
        <f t="shared" si="30"/>
        <v/>
      </c>
      <c r="R241" s="148"/>
      <c r="S241" s="128" t="str">
        <f t="shared" si="31"/>
        <v/>
      </c>
      <c r="T241" s="47" t="str">
        <f t="shared" si="24"/>
        <v>OK!</v>
      </c>
    </row>
    <row r="242" spans="2:21" ht="16.5" x14ac:dyDescent="0.3">
      <c r="B242" s="129" t="s">
        <v>2738</v>
      </c>
      <c r="C242" s="128">
        <v>9.24</v>
      </c>
      <c r="D242" s="128">
        <v>12.8</v>
      </c>
      <c r="E242" s="128"/>
      <c r="F242" s="148" t="s">
        <v>2916</v>
      </c>
      <c r="G242" s="128">
        <f t="shared" si="25"/>
        <v>9.24</v>
      </c>
      <c r="H242" s="128"/>
      <c r="I242" s="128" t="str">
        <f t="shared" si="26"/>
        <v/>
      </c>
      <c r="J242" s="128"/>
      <c r="K242" s="128" t="str">
        <f t="shared" si="27"/>
        <v/>
      </c>
      <c r="L242" s="128"/>
      <c r="M242" s="128" t="str">
        <f t="shared" si="28"/>
        <v/>
      </c>
      <c r="N242" s="148"/>
      <c r="O242" s="128" t="str">
        <f t="shared" si="29"/>
        <v/>
      </c>
      <c r="P242" s="148"/>
      <c r="Q242" s="128" t="str">
        <f t="shared" si="30"/>
        <v/>
      </c>
      <c r="R242" s="148"/>
      <c r="S242" s="128" t="str">
        <f t="shared" si="31"/>
        <v/>
      </c>
      <c r="T242" s="47" t="str">
        <f t="shared" si="24"/>
        <v>OK!</v>
      </c>
      <c r="U242">
        <f>34.9+90</f>
        <v>124.9</v>
      </c>
    </row>
    <row r="243" spans="2:21" ht="16.5" x14ac:dyDescent="0.3">
      <c r="B243" s="129" t="s">
        <v>2739</v>
      </c>
      <c r="C243" s="128">
        <v>9.16</v>
      </c>
      <c r="D243" s="128">
        <v>13.05</v>
      </c>
      <c r="E243" s="128"/>
      <c r="F243" s="148" t="s">
        <v>2916</v>
      </c>
      <c r="G243" s="128">
        <f t="shared" si="25"/>
        <v>9.16</v>
      </c>
      <c r="H243" s="128"/>
      <c r="I243" s="128" t="str">
        <f t="shared" si="26"/>
        <v/>
      </c>
      <c r="J243" s="128"/>
      <c r="K243" s="128" t="str">
        <f t="shared" si="27"/>
        <v/>
      </c>
      <c r="L243" s="128"/>
      <c r="M243" s="128" t="str">
        <f t="shared" si="28"/>
        <v/>
      </c>
      <c r="N243" s="148"/>
      <c r="O243" s="128" t="str">
        <f t="shared" si="29"/>
        <v/>
      </c>
      <c r="P243" s="148"/>
      <c r="Q243" s="128" t="str">
        <f t="shared" si="30"/>
        <v/>
      </c>
      <c r="R243" s="148"/>
      <c r="S243" s="128" t="str">
        <f t="shared" si="31"/>
        <v/>
      </c>
      <c r="T243" s="47" t="str">
        <f t="shared" si="24"/>
        <v>OK!</v>
      </c>
    </row>
    <row r="244" spans="2:21" ht="16.5" x14ac:dyDescent="0.3">
      <c r="B244" s="149" t="s">
        <v>2737</v>
      </c>
      <c r="C244" s="150">
        <v>3.54</v>
      </c>
      <c r="D244" s="150">
        <v>7.65</v>
      </c>
      <c r="E244" s="150"/>
      <c r="F244" s="148" t="s">
        <v>2916</v>
      </c>
      <c r="G244" s="128">
        <f t="shared" si="25"/>
        <v>3.54</v>
      </c>
      <c r="H244" s="128"/>
      <c r="I244" s="128" t="str">
        <f t="shared" si="26"/>
        <v/>
      </c>
      <c r="J244" s="128"/>
      <c r="K244" s="128" t="str">
        <f t="shared" si="27"/>
        <v/>
      </c>
      <c r="L244" s="128"/>
      <c r="M244" s="128" t="str">
        <f t="shared" si="28"/>
        <v/>
      </c>
      <c r="N244" s="148"/>
      <c r="O244" s="128" t="str">
        <f t="shared" si="29"/>
        <v/>
      </c>
      <c r="P244" s="148"/>
      <c r="Q244" s="128" t="str">
        <f t="shared" si="30"/>
        <v/>
      </c>
      <c r="R244" s="148"/>
      <c r="S244" s="128" t="str">
        <f t="shared" si="31"/>
        <v/>
      </c>
      <c r="T244" s="47" t="str">
        <f t="shared" si="24"/>
        <v>OK!</v>
      </c>
    </row>
    <row r="245" spans="2:21" ht="16.5" x14ac:dyDescent="0.3">
      <c r="B245" s="149" t="s">
        <v>2594</v>
      </c>
      <c r="C245" s="150">
        <v>17.97</v>
      </c>
      <c r="D245" s="150">
        <v>23.12</v>
      </c>
      <c r="E245" s="150"/>
      <c r="F245" s="148" t="s">
        <v>2916</v>
      </c>
      <c r="G245" s="128">
        <f t="shared" si="25"/>
        <v>17.97</v>
      </c>
      <c r="H245" s="128"/>
      <c r="I245" s="128" t="str">
        <f t="shared" si="26"/>
        <v/>
      </c>
      <c r="J245" s="128"/>
      <c r="K245" s="128" t="str">
        <f t="shared" si="27"/>
        <v/>
      </c>
      <c r="L245" s="128"/>
      <c r="M245" s="128" t="str">
        <f t="shared" si="28"/>
        <v/>
      </c>
      <c r="N245" s="148"/>
      <c r="O245" s="128" t="str">
        <f t="shared" si="29"/>
        <v/>
      </c>
      <c r="P245" s="148"/>
      <c r="Q245" s="128" t="str">
        <f t="shared" si="30"/>
        <v/>
      </c>
      <c r="R245" s="148"/>
      <c r="S245" s="128" t="str">
        <f t="shared" si="31"/>
        <v/>
      </c>
      <c r="T245" s="47" t="str">
        <f t="shared" si="24"/>
        <v>OK!</v>
      </c>
    </row>
    <row r="246" spans="2:21" ht="16.5" x14ac:dyDescent="0.3">
      <c r="B246" s="149" t="s">
        <v>2666</v>
      </c>
      <c r="C246" s="150">
        <v>6.14</v>
      </c>
      <c r="D246" s="150">
        <v>10.16</v>
      </c>
      <c r="E246" s="150"/>
      <c r="F246" s="148"/>
      <c r="G246" s="128" t="str">
        <f t="shared" si="25"/>
        <v/>
      </c>
      <c r="H246" s="128" t="s">
        <v>2916</v>
      </c>
      <c r="I246" s="128">
        <f t="shared" si="26"/>
        <v>6.14</v>
      </c>
      <c r="J246" s="128"/>
      <c r="K246" s="128" t="str">
        <f t="shared" si="27"/>
        <v/>
      </c>
      <c r="L246" s="128"/>
      <c r="M246" s="128" t="str">
        <f t="shared" si="28"/>
        <v/>
      </c>
      <c r="N246" s="148"/>
      <c r="O246" s="128" t="str">
        <f t="shared" si="29"/>
        <v/>
      </c>
      <c r="P246" s="148"/>
      <c r="Q246" s="128" t="str">
        <f t="shared" si="30"/>
        <v/>
      </c>
      <c r="R246" s="148"/>
      <c r="S246" s="128" t="str">
        <f t="shared" si="31"/>
        <v/>
      </c>
      <c r="T246" s="47" t="str">
        <f t="shared" si="24"/>
        <v>OK!</v>
      </c>
    </row>
    <row r="247" spans="2:21" ht="16.5" x14ac:dyDescent="0.3">
      <c r="B247" s="129" t="s">
        <v>2729</v>
      </c>
      <c r="C247" s="128">
        <v>206.56</v>
      </c>
      <c r="D247" s="128">
        <v>68</v>
      </c>
      <c r="E247" s="128"/>
      <c r="F247" s="148"/>
      <c r="G247" s="128" t="str">
        <f t="shared" si="25"/>
        <v/>
      </c>
      <c r="H247" s="128" t="s">
        <v>2916</v>
      </c>
      <c r="I247" s="128">
        <f t="shared" si="26"/>
        <v>206.56</v>
      </c>
      <c r="J247" s="128"/>
      <c r="K247" s="128" t="str">
        <f t="shared" si="27"/>
        <v/>
      </c>
      <c r="L247" s="128"/>
      <c r="M247" s="128" t="str">
        <f t="shared" si="28"/>
        <v/>
      </c>
      <c r="N247" s="148"/>
      <c r="O247" s="128" t="str">
        <f t="shared" si="29"/>
        <v/>
      </c>
      <c r="P247" s="148"/>
      <c r="Q247" s="128" t="str">
        <f t="shared" si="30"/>
        <v/>
      </c>
      <c r="R247" s="148"/>
      <c r="S247" s="128" t="str">
        <f t="shared" si="31"/>
        <v/>
      </c>
      <c r="T247" s="47" t="str">
        <f t="shared" si="24"/>
        <v>OK!</v>
      </c>
    </row>
    <row r="248" spans="2:21" ht="16.5" x14ac:dyDescent="0.3">
      <c r="B248" s="129" t="s">
        <v>2730</v>
      </c>
      <c r="C248" s="128">
        <v>14.57</v>
      </c>
      <c r="D248" s="128">
        <f>17.26+18.46</f>
        <v>35.72</v>
      </c>
      <c r="E248" s="128"/>
      <c r="F248" s="148"/>
      <c r="G248" s="128" t="str">
        <f t="shared" si="25"/>
        <v/>
      </c>
      <c r="H248" s="128" t="s">
        <v>2916</v>
      </c>
      <c r="I248" s="128">
        <f t="shared" si="26"/>
        <v>14.57</v>
      </c>
      <c r="J248" s="128"/>
      <c r="K248" s="128" t="str">
        <f t="shared" si="27"/>
        <v/>
      </c>
      <c r="L248" s="128"/>
      <c r="M248" s="128" t="str">
        <f t="shared" si="28"/>
        <v/>
      </c>
      <c r="N248" s="148"/>
      <c r="O248" s="128" t="str">
        <f t="shared" si="29"/>
        <v/>
      </c>
      <c r="P248" s="148"/>
      <c r="Q248" s="128" t="str">
        <f t="shared" si="30"/>
        <v/>
      </c>
      <c r="R248" s="148"/>
      <c r="S248" s="128" t="str">
        <f t="shared" si="31"/>
        <v/>
      </c>
      <c r="T248" s="47" t="str">
        <f t="shared" si="24"/>
        <v>OK!</v>
      </c>
    </row>
    <row r="249" spans="2:21" ht="16.5" x14ac:dyDescent="0.3">
      <c r="B249" s="149" t="s">
        <v>2749</v>
      </c>
      <c r="C249" s="128">
        <v>7.8</v>
      </c>
      <c r="D249" s="128">
        <v>11.2</v>
      </c>
      <c r="E249" s="128"/>
      <c r="F249" s="148" t="s">
        <v>2916</v>
      </c>
      <c r="G249" s="128">
        <f t="shared" si="25"/>
        <v>7.8</v>
      </c>
      <c r="H249" s="128"/>
      <c r="I249" s="128" t="str">
        <f t="shared" si="26"/>
        <v/>
      </c>
      <c r="J249" s="128"/>
      <c r="K249" s="128" t="str">
        <f t="shared" si="27"/>
        <v/>
      </c>
      <c r="L249" s="128"/>
      <c r="M249" s="128" t="str">
        <f t="shared" si="28"/>
        <v/>
      </c>
      <c r="N249" s="148"/>
      <c r="O249" s="128" t="str">
        <f t="shared" si="29"/>
        <v/>
      </c>
      <c r="P249" s="148"/>
      <c r="Q249" s="128" t="str">
        <f t="shared" si="30"/>
        <v/>
      </c>
      <c r="R249" s="148"/>
      <c r="S249" s="128" t="str">
        <f t="shared" si="31"/>
        <v/>
      </c>
      <c r="T249" s="47" t="str">
        <f t="shared" si="24"/>
        <v>OK!</v>
      </c>
    </row>
    <row r="250" spans="2:21" ht="16.5" x14ac:dyDescent="0.3">
      <c r="B250" s="149" t="s">
        <v>2750</v>
      </c>
      <c r="C250" s="128">
        <v>7.65</v>
      </c>
      <c r="D250" s="128">
        <v>11.1</v>
      </c>
      <c r="E250" s="128"/>
      <c r="F250" s="148" t="s">
        <v>2916</v>
      </c>
      <c r="G250" s="128">
        <f t="shared" si="25"/>
        <v>7.65</v>
      </c>
      <c r="H250" s="128"/>
      <c r="I250" s="128" t="str">
        <f t="shared" si="26"/>
        <v/>
      </c>
      <c r="J250" s="128"/>
      <c r="K250" s="128" t="str">
        <f t="shared" si="27"/>
        <v/>
      </c>
      <c r="L250" s="128"/>
      <c r="M250" s="128" t="str">
        <f t="shared" si="28"/>
        <v/>
      </c>
      <c r="N250" s="148"/>
      <c r="O250" s="128" t="str">
        <f t="shared" si="29"/>
        <v/>
      </c>
      <c r="P250" s="148"/>
      <c r="Q250" s="128" t="str">
        <f t="shared" si="30"/>
        <v/>
      </c>
      <c r="R250" s="148"/>
      <c r="S250" s="128" t="str">
        <f t="shared" si="31"/>
        <v/>
      </c>
      <c r="T250" s="47" t="str">
        <f t="shared" si="24"/>
        <v>OK!</v>
      </c>
    </row>
    <row r="251" spans="2:21" ht="16.5" x14ac:dyDescent="0.3">
      <c r="B251" s="129" t="s">
        <v>2751</v>
      </c>
      <c r="C251" s="128">
        <v>9.1999999999999993</v>
      </c>
      <c r="D251" s="128">
        <v>12.18</v>
      </c>
      <c r="E251" s="128"/>
      <c r="F251" s="148" t="s">
        <v>2916</v>
      </c>
      <c r="G251" s="128">
        <f t="shared" si="25"/>
        <v>9.1999999999999993</v>
      </c>
      <c r="H251" s="128"/>
      <c r="I251" s="128" t="str">
        <f t="shared" si="26"/>
        <v/>
      </c>
      <c r="J251" s="128"/>
      <c r="K251" s="128" t="str">
        <f t="shared" si="27"/>
        <v/>
      </c>
      <c r="L251" s="128"/>
      <c r="M251" s="128" t="str">
        <f t="shared" si="28"/>
        <v/>
      </c>
      <c r="N251" s="148"/>
      <c r="O251" s="128" t="str">
        <f t="shared" si="29"/>
        <v/>
      </c>
      <c r="P251" s="148"/>
      <c r="Q251" s="128" t="str">
        <f t="shared" si="30"/>
        <v/>
      </c>
      <c r="R251" s="148"/>
      <c r="S251" s="128" t="str">
        <f t="shared" si="31"/>
        <v/>
      </c>
      <c r="T251" s="47" t="str">
        <f t="shared" si="24"/>
        <v>OK!</v>
      </c>
    </row>
    <row r="252" spans="2:21" ht="16.5" x14ac:dyDescent="0.3">
      <c r="B252" s="129" t="s">
        <v>2611</v>
      </c>
      <c r="C252" s="128">
        <v>3</v>
      </c>
      <c r="D252" s="128">
        <v>7.4</v>
      </c>
      <c r="E252" s="128"/>
      <c r="F252" s="148" t="s">
        <v>2916</v>
      </c>
      <c r="G252" s="128">
        <f t="shared" si="25"/>
        <v>3</v>
      </c>
      <c r="H252" s="128"/>
      <c r="I252" s="128" t="str">
        <f t="shared" si="26"/>
        <v/>
      </c>
      <c r="J252" s="128"/>
      <c r="K252" s="128" t="str">
        <f t="shared" si="27"/>
        <v/>
      </c>
      <c r="L252" s="128"/>
      <c r="M252" s="128" t="str">
        <f t="shared" si="28"/>
        <v/>
      </c>
      <c r="N252" s="148"/>
      <c r="O252" s="128" t="str">
        <f t="shared" si="29"/>
        <v/>
      </c>
      <c r="P252" s="148"/>
      <c r="Q252" s="128" t="str">
        <f t="shared" si="30"/>
        <v/>
      </c>
      <c r="R252" s="148"/>
      <c r="S252" s="128" t="str">
        <f t="shared" si="31"/>
        <v/>
      </c>
      <c r="T252" s="47" t="str">
        <f t="shared" si="24"/>
        <v>OK!</v>
      </c>
    </row>
    <row r="253" spans="2:21" ht="16.5" x14ac:dyDescent="0.3">
      <c r="B253" s="129" t="s">
        <v>2721</v>
      </c>
      <c r="C253" s="128">
        <v>2.2000000000000002</v>
      </c>
      <c r="D253" s="128">
        <v>6.2</v>
      </c>
      <c r="E253" s="128"/>
      <c r="F253" s="148" t="s">
        <v>2916</v>
      </c>
      <c r="G253" s="128">
        <f t="shared" si="25"/>
        <v>2.2000000000000002</v>
      </c>
      <c r="H253" s="128"/>
      <c r="I253" s="128" t="str">
        <f t="shared" si="26"/>
        <v/>
      </c>
      <c r="J253" s="128"/>
      <c r="K253" s="128" t="str">
        <f t="shared" si="27"/>
        <v/>
      </c>
      <c r="L253" s="128"/>
      <c r="M253" s="128" t="str">
        <f t="shared" si="28"/>
        <v/>
      </c>
      <c r="N253" s="148"/>
      <c r="O253" s="128" t="str">
        <f t="shared" si="29"/>
        <v/>
      </c>
      <c r="P253" s="148"/>
      <c r="Q253" s="128" t="str">
        <f t="shared" si="30"/>
        <v/>
      </c>
      <c r="R253" s="148"/>
      <c r="S253" s="128" t="str">
        <f t="shared" si="31"/>
        <v/>
      </c>
      <c r="T253" s="47" t="str">
        <f t="shared" si="24"/>
        <v>OK!</v>
      </c>
    </row>
    <row r="254" spans="2:21" ht="16.5" x14ac:dyDescent="0.3">
      <c r="B254" s="129" t="s">
        <v>2720</v>
      </c>
      <c r="C254" s="128">
        <v>2.2000000000000002</v>
      </c>
      <c r="D254" s="128">
        <v>6.2</v>
      </c>
      <c r="E254" s="128"/>
      <c r="F254" s="148" t="s">
        <v>2916</v>
      </c>
      <c r="G254" s="128">
        <f t="shared" si="25"/>
        <v>2.2000000000000002</v>
      </c>
      <c r="H254" s="128"/>
      <c r="I254" s="128" t="str">
        <f t="shared" si="26"/>
        <v/>
      </c>
      <c r="J254" s="128"/>
      <c r="K254" s="128" t="str">
        <f t="shared" si="27"/>
        <v/>
      </c>
      <c r="L254" s="128"/>
      <c r="M254" s="128" t="str">
        <f t="shared" si="28"/>
        <v/>
      </c>
      <c r="N254" s="148"/>
      <c r="O254" s="128" t="str">
        <f t="shared" si="29"/>
        <v/>
      </c>
      <c r="P254" s="148"/>
      <c r="Q254" s="128" t="str">
        <f t="shared" si="30"/>
        <v/>
      </c>
      <c r="R254" s="148"/>
      <c r="S254" s="128" t="str">
        <f t="shared" si="31"/>
        <v/>
      </c>
      <c r="T254" s="47" t="str">
        <f t="shared" si="24"/>
        <v>OK!</v>
      </c>
    </row>
    <row r="255" spans="2:21" ht="16.5" x14ac:dyDescent="0.3">
      <c r="B255" s="129" t="s">
        <v>2669</v>
      </c>
      <c r="C255" s="128">
        <v>5.66</v>
      </c>
      <c r="D255" s="128">
        <v>10.4</v>
      </c>
      <c r="E255" s="128"/>
      <c r="F255" s="148"/>
      <c r="G255" s="128" t="str">
        <f t="shared" si="25"/>
        <v/>
      </c>
      <c r="H255" s="128" t="s">
        <v>2916</v>
      </c>
      <c r="I255" s="128">
        <f t="shared" si="26"/>
        <v>5.66</v>
      </c>
      <c r="J255" s="128"/>
      <c r="K255" s="128" t="str">
        <f t="shared" si="27"/>
        <v/>
      </c>
      <c r="L255" s="128"/>
      <c r="M255" s="128" t="str">
        <f t="shared" si="28"/>
        <v/>
      </c>
      <c r="N255" s="148"/>
      <c r="O255" s="128" t="str">
        <f t="shared" si="29"/>
        <v/>
      </c>
      <c r="P255" s="148"/>
      <c r="Q255" s="128" t="str">
        <f t="shared" si="30"/>
        <v/>
      </c>
      <c r="R255" s="148"/>
      <c r="S255" s="128" t="str">
        <f t="shared" si="31"/>
        <v/>
      </c>
      <c r="T255" s="47" t="str">
        <f t="shared" si="24"/>
        <v>OK!</v>
      </c>
    </row>
    <row r="256" spans="2:21" ht="16.5" x14ac:dyDescent="0.3">
      <c r="B256" s="129" t="s">
        <v>2728</v>
      </c>
      <c r="C256" s="128">
        <v>13.14</v>
      </c>
      <c r="D256" s="128">
        <v>14.5</v>
      </c>
      <c r="E256" s="128"/>
      <c r="F256" s="148"/>
      <c r="G256" s="128" t="str">
        <f t="shared" si="25"/>
        <v/>
      </c>
      <c r="H256" s="128" t="s">
        <v>2916</v>
      </c>
      <c r="I256" s="128">
        <f t="shared" si="26"/>
        <v>13.14</v>
      </c>
      <c r="J256" s="128"/>
      <c r="K256" s="128" t="str">
        <f t="shared" si="27"/>
        <v/>
      </c>
      <c r="L256" s="128"/>
      <c r="M256" s="128" t="str">
        <f t="shared" si="28"/>
        <v/>
      </c>
      <c r="N256" s="148"/>
      <c r="O256" s="128" t="str">
        <f t="shared" si="29"/>
        <v/>
      </c>
      <c r="P256" s="148"/>
      <c r="Q256" s="128" t="str">
        <f t="shared" si="30"/>
        <v/>
      </c>
      <c r="R256" s="148"/>
      <c r="S256" s="128" t="str">
        <f t="shared" si="31"/>
        <v/>
      </c>
      <c r="T256" s="47" t="str">
        <f t="shared" si="24"/>
        <v>OK!</v>
      </c>
    </row>
    <row r="257" spans="2:20" ht="16.5" x14ac:dyDescent="0.3">
      <c r="B257" s="129" t="s">
        <v>2678</v>
      </c>
      <c r="C257" s="128">
        <v>4.6900000000000004</v>
      </c>
      <c r="D257" s="128">
        <v>9.4</v>
      </c>
      <c r="E257" s="128"/>
      <c r="F257" s="148" t="s">
        <v>2916</v>
      </c>
      <c r="G257" s="128">
        <f t="shared" si="25"/>
        <v>4.6900000000000004</v>
      </c>
      <c r="H257" s="128"/>
      <c r="I257" s="128" t="str">
        <f t="shared" si="26"/>
        <v/>
      </c>
      <c r="J257" s="128"/>
      <c r="K257" s="128" t="str">
        <f t="shared" si="27"/>
        <v/>
      </c>
      <c r="L257" s="128"/>
      <c r="M257" s="128" t="str">
        <f t="shared" si="28"/>
        <v/>
      </c>
      <c r="N257" s="148"/>
      <c r="O257" s="128" t="str">
        <f t="shared" si="29"/>
        <v/>
      </c>
      <c r="P257" s="148"/>
      <c r="Q257" s="128" t="str">
        <f t="shared" si="30"/>
        <v/>
      </c>
      <c r="R257" s="148"/>
      <c r="S257" s="128" t="str">
        <f t="shared" si="31"/>
        <v/>
      </c>
      <c r="T257" s="47" t="str">
        <f t="shared" si="24"/>
        <v>OK!</v>
      </c>
    </row>
    <row r="258" spans="2:20" ht="16.5" x14ac:dyDescent="0.3">
      <c r="B258" s="129" t="s">
        <v>2678</v>
      </c>
      <c r="C258" s="128">
        <v>4.6900000000000004</v>
      </c>
      <c r="D258" s="128">
        <v>9.4</v>
      </c>
      <c r="E258" s="128"/>
      <c r="F258" s="148" t="s">
        <v>2916</v>
      </c>
      <c r="G258" s="128">
        <f t="shared" si="25"/>
        <v>4.6900000000000004</v>
      </c>
      <c r="H258" s="128"/>
      <c r="I258" s="128" t="str">
        <f t="shared" si="26"/>
        <v/>
      </c>
      <c r="J258" s="128"/>
      <c r="K258" s="128" t="str">
        <f t="shared" si="27"/>
        <v/>
      </c>
      <c r="L258" s="128"/>
      <c r="M258" s="128" t="str">
        <f t="shared" si="28"/>
        <v/>
      </c>
      <c r="N258" s="148"/>
      <c r="O258" s="128" t="str">
        <f t="shared" si="29"/>
        <v/>
      </c>
      <c r="P258" s="148"/>
      <c r="Q258" s="128" t="str">
        <f t="shared" si="30"/>
        <v/>
      </c>
      <c r="R258" s="148"/>
      <c r="S258" s="128" t="str">
        <f t="shared" si="31"/>
        <v/>
      </c>
      <c r="T258" s="47" t="str">
        <f t="shared" si="24"/>
        <v>OK!</v>
      </c>
    </row>
    <row r="259" spans="2:20" ht="16.5" x14ac:dyDescent="0.3">
      <c r="B259" s="129" t="s">
        <v>2752</v>
      </c>
      <c r="C259" s="128">
        <v>8.7100000000000009</v>
      </c>
      <c r="D259" s="128">
        <v>9.4</v>
      </c>
      <c r="E259" s="128"/>
      <c r="F259" s="148"/>
      <c r="G259" s="128" t="str">
        <f t="shared" si="25"/>
        <v/>
      </c>
      <c r="H259" s="128" t="s">
        <v>2916</v>
      </c>
      <c r="I259" s="128">
        <f t="shared" si="26"/>
        <v>8.7100000000000009</v>
      </c>
      <c r="J259" s="128"/>
      <c r="K259" s="128" t="str">
        <f t="shared" si="27"/>
        <v/>
      </c>
      <c r="L259" s="128"/>
      <c r="M259" s="128" t="str">
        <f t="shared" si="28"/>
        <v/>
      </c>
      <c r="N259" s="148"/>
      <c r="O259" s="128" t="str">
        <f t="shared" si="29"/>
        <v/>
      </c>
      <c r="P259" s="148"/>
      <c r="Q259" s="128" t="str">
        <f t="shared" si="30"/>
        <v/>
      </c>
      <c r="R259" s="148"/>
      <c r="S259" s="128" t="str">
        <f t="shared" si="31"/>
        <v/>
      </c>
      <c r="T259" s="47" t="str">
        <f t="shared" si="24"/>
        <v>OK!</v>
      </c>
    </row>
    <row r="260" spans="2:20" ht="16.5" x14ac:dyDescent="0.3">
      <c r="B260" s="129" t="s">
        <v>2753</v>
      </c>
      <c r="C260" s="128">
        <v>2.89</v>
      </c>
      <c r="D260" s="128">
        <v>6.8</v>
      </c>
      <c r="E260" s="128"/>
      <c r="F260" s="148" t="s">
        <v>2916</v>
      </c>
      <c r="G260" s="128">
        <f t="shared" si="25"/>
        <v>2.89</v>
      </c>
      <c r="H260" s="128"/>
      <c r="I260" s="128" t="str">
        <f t="shared" si="26"/>
        <v/>
      </c>
      <c r="J260" s="128"/>
      <c r="K260" s="128" t="str">
        <f t="shared" si="27"/>
        <v/>
      </c>
      <c r="L260" s="128"/>
      <c r="M260" s="128" t="str">
        <f t="shared" si="28"/>
        <v/>
      </c>
      <c r="N260" s="148"/>
      <c r="O260" s="128" t="str">
        <f t="shared" si="29"/>
        <v/>
      </c>
      <c r="P260" s="148"/>
      <c r="Q260" s="128" t="str">
        <f t="shared" si="30"/>
        <v/>
      </c>
      <c r="R260" s="148"/>
      <c r="S260" s="128" t="str">
        <f t="shared" si="31"/>
        <v/>
      </c>
      <c r="T260" s="47" t="str">
        <f t="shared" si="24"/>
        <v>OK!</v>
      </c>
    </row>
    <row r="261" spans="2:20" ht="16.5" x14ac:dyDescent="0.3">
      <c r="B261" s="129" t="s">
        <v>2754</v>
      </c>
      <c r="C261" s="128">
        <v>2.89</v>
      </c>
      <c r="D261" s="128">
        <v>6.8</v>
      </c>
      <c r="E261" s="128"/>
      <c r="F261" s="148" t="s">
        <v>2916</v>
      </c>
      <c r="G261" s="128">
        <f t="shared" si="25"/>
        <v>2.89</v>
      </c>
      <c r="H261" s="128"/>
      <c r="I261" s="128" t="str">
        <f t="shared" si="26"/>
        <v/>
      </c>
      <c r="J261" s="128"/>
      <c r="K261" s="128" t="str">
        <f t="shared" si="27"/>
        <v/>
      </c>
      <c r="L261" s="128"/>
      <c r="M261" s="128" t="str">
        <f t="shared" si="28"/>
        <v/>
      </c>
      <c r="N261" s="148"/>
      <c r="O261" s="128" t="str">
        <f t="shared" si="29"/>
        <v/>
      </c>
      <c r="P261" s="148"/>
      <c r="Q261" s="128" t="str">
        <f t="shared" si="30"/>
        <v/>
      </c>
      <c r="R261" s="148"/>
      <c r="S261" s="128" t="str">
        <f t="shared" si="31"/>
        <v/>
      </c>
      <c r="T261" s="47" t="str">
        <f t="shared" ref="T261:T324" si="32">IF(COUNT(F261:S261)&gt;1,"Corrigir!","OK!")</f>
        <v>OK!</v>
      </c>
    </row>
    <row r="262" spans="2:20" ht="16.5" x14ac:dyDescent="0.3">
      <c r="B262" s="129" t="s">
        <v>2755</v>
      </c>
      <c r="C262" s="128">
        <v>17.91</v>
      </c>
      <c r="D262" s="128">
        <v>16.93</v>
      </c>
      <c r="E262" s="128"/>
      <c r="F262" s="148" t="s">
        <v>2916</v>
      </c>
      <c r="G262" s="128">
        <f t="shared" si="25"/>
        <v>17.91</v>
      </c>
      <c r="H262" s="128"/>
      <c r="I262" s="128" t="str">
        <f t="shared" si="26"/>
        <v/>
      </c>
      <c r="J262" s="128"/>
      <c r="K262" s="128" t="str">
        <f t="shared" si="27"/>
        <v/>
      </c>
      <c r="L262" s="128"/>
      <c r="M262" s="128" t="str">
        <f t="shared" si="28"/>
        <v/>
      </c>
      <c r="N262" s="148"/>
      <c r="O262" s="128" t="str">
        <f t="shared" si="29"/>
        <v/>
      </c>
      <c r="P262" s="148"/>
      <c r="Q262" s="128" t="str">
        <f t="shared" si="30"/>
        <v/>
      </c>
      <c r="R262" s="148"/>
      <c r="S262" s="128" t="str">
        <f t="shared" si="31"/>
        <v/>
      </c>
      <c r="T262" s="47" t="str">
        <f t="shared" si="32"/>
        <v>OK!</v>
      </c>
    </row>
    <row r="263" spans="2:20" ht="16.5" x14ac:dyDescent="0.3">
      <c r="B263" s="129" t="s">
        <v>2756</v>
      </c>
      <c r="C263" s="128">
        <v>22.32</v>
      </c>
      <c r="D263" s="128">
        <v>19.45</v>
      </c>
      <c r="E263" s="128"/>
      <c r="F263" s="148" t="s">
        <v>2916</v>
      </c>
      <c r="G263" s="128">
        <f t="shared" ref="G263:G326" si="33">IF(F263="x",$C263,"")</f>
        <v>22.32</v>
      </c>
      <c r="H263" s="128"/>
      <c r="I263" s="128" t="str">
        <f t="shared" ref="I263:I326" si="34">IF(H263="x",$C263,"")</f>
        <v/>
      </c>
      <c r="J263" s="128"/>
      <c r="K263" s="128" t="str">
        <f t="shared" ref="K263:K326" si="35">IF(J263="x",$C263,"")</f>
        <v/>
      </c>
      <c r="L263" s="128"/>
      <c r="M263" s="128" t="str">
        <f t="shared" ref="M263:M326" si="36">IF(L263="x",$C263,"")</f>
        <v/>
      </c>
      <c r="N263" s="148"/>
      <c r="O263" s="128" t="str">
        <f t="shared" ref="O263:O326" si="37">IF(N263="x",$C263,"")</f>
        <v/>
      </c>
      <c r="P263" s="148"/>
      <c r="Q263" s="128" t="str">
        <f t="shared" ref="Q263:Q326" si="38">IF(P263="x",$C263,"")</f>
        <v/>
      </c>
      <c r="R263" s="148"/>
      <c r="S263" s="128" t="str">
        <f t="shared" ref="S263:S326" si="39">IF(R263="x",$C263,"")</f>
        <v/>
      </c>
      <c r="T263" s="47" t="str">
        <f t="shared" si="32"/>
        <v>OK!</v>
      </c>
    </row>
    <row r="264" spans="2:20" ht="16.5" x14ac:dyDescent="0.3">
      <c r="B264" s="129" t="s">
        <v>2757</v>
      </c>
      <c r="C264" s="128">
        <v>9.33</v>
      </c>
      <c r="D264" s="128">
        <v>12.22</v>
      </c>
      <c r="E264" s="128"/>
      <c r="F264" s="148" t="s">
        <v>2916</v>
      </c>
      <c r="G264" s="128">
        <f t="shared" si="33"/>
        <v>9.33</v>
      </c>
      <c r="H264" s="128"/>
      <c r="I264" s="128" t="str">
        <f t="shared" si="34"/>
        <v/>
      </c>
      <c r="J264" s="128"/>
      <c r="K264" s="128" t="str">
        <f t="shared" si="35"/>
        <v/>
      </c>
      <c r="L264" s="128"/>
      <c r="M264" s="128" t="str">
        <f t="shared" si="36"/>
        <v/>
      </c>
      <c r="N264" s="148"/>
      <c r="O264" s="128" t="str">
        <f t="shared" si="37"/>
        <v/>
      </c>
      <c r="P264" s="148"/>
      <c r="Q264" s="128" t="str">
        <f t="shared" si="38"/>
        <v/>
      </c>
      <c r="R264" s="148"/>
      <c r="S264" s="128" t="str">
        <f t="shared" si="39"/>
        <v/>
      </c>
      <c r="T264" s="47" t="str">
        <f t="shared" si="32"/>
        <v>OK!</v>
      </c>
    </row>
    <row r="265" spans="2:20" ht="16.5" x14ac:dyDescent="0.3">
      <c r="B265" s="129" t="s">
        <v>2758</v>
      </c>
      <c r="C265" s="128">
        <v>9.32</v>
      </c>
      <c r="D265" s="128">
        <v>12.24</v>
      </c>
      <c r="E265" s="128"/>
      <c r="F265" s="148" t="s">
        <v>2916</v>
      </c>
      <c r="G265" s="128">
        <f t="shared" si="33"/>
        <v>9.32</v>
      </c>
      <c r="H265" s="128"/>
      <c r="I265" s="128" t="str">
        <f t="shared" si="34"/>
        <v/>
      </c>
      <c r="J265" s="128"/>
      <c r="K265" s="128" t="str">
        <f t="shared" si="35"/>
        <v/>
      </c>
      <c r="L265" s="128"/>
      <c r="M265" s="128" t="str">
        <f t="shared" si="36"/>
        <v/>
      </c>
      <c r="N265" s="148"/>
      <c r="O265" s="128" t="str">
        <f t="shared" si="37"/>
        <v/>
      </c>
      <c r="P265" s="148"/>
      <c r="Q265" s="128" t="str">
        <f t="shared" si="38"/>
        <v/>
      </c>
      <c r="R265" s="148"/>
      <c r="S265" s="128" t="str">
        <f t="shared" si="39"/>
        <v/>
      </c>
      <c r="T265" s="47" t="str">
        <f t="shared" si="32"/>
        <v>OK!</v>
      </c>
    </row>
    <row r="266" spans="2:20" ht="16.5" x14ac:dyDescent="0.3">
      <c r="B266" s="129" t="s">
        <v>2759</v>
      </c>
      <c r="C266" s="128">
        <v>10.31</v>
      </c>
      <c r="D266" s="128">
        <v>12.39</v>
      </c>
      <c r="E266" s="128"/>
      <c r="F266" s="148" t="s">
        <v>2916</v>
      </c>
      <c r="G266" s="128">
        <f t="shared" si="33"/>
        <v>10.31</v>
      </c>
      <c r="H266" s="128"/>
      <c r="I266" s="128" t="str">
        <f t="shared" si="34"/>
        <v/>
      </c>
      <c r="J266" s="128"/>
      <c r="K266" s="128" t="str">
        <f t="shared" si="35"/>
        <v/>
      </c>
      <c r="L266" s="128"/>
      <c r="M266" s="128" t="str">
        <f t="shared" si="36"/>
        <v/>
      </c>
      <c r="N266" s="148"/>
      <c r="O266" s="128" t="str">
        <f t="shared" si="37"/>
        <v/>
      </c>
      <c r="P266" s="148"/>
      <c r="Q266" s="128" t="str">
        <f t="shared" si="38"/>
        <v/>
      </c>
      <c r="R266" s="148"/>
      <c r="S266" s="128" t="str">
        <f t="shared" si="39"/>
        <v/>
      </c>
      <c r="T266" s="47" t="str">
        <f t="shared" si="32"/>
        <v>OK!</v>
      </c>
    </row>
    <row r="267" spans="2:20" ht="16.5" x14ac:dyDescent="0.3">
      <c r="B267" s="129" t="s">
        <v>2760</v>
      </c>
      <c r="C267" s="128">
        <v>7.11</v>
      </c>
      <c r="D267" s="128">
        <v>10.74</v>
      </c>
      <c r="E267" s="128"/>
      <c r="F267" s="148" t="s">
        <v>2916</v>
      </c>
      <c r="G267" s="128">
        <f t="shared" si="33"/>
        <v>7.11</v>
      </c>
      <c r="H267" s="128"/>
      <c r="I267" s="128" t="str">
        <f t="shared" si="34"/>
        <v/>
      </c>
      <c r="J267" s="128"/>
      <c r="K267" s="128" t="str">
        <f t="shared" si="35"/>
        <v/>
      </c>
      <c r="L267" s="128"/>
      <c r="M267" s="128" t="str">
        <f t="shared" si="36"/>
        <v/>
      </c>
      <c r="N267" s="148"/>
      <c r="O267" s="128" t="str">
        <f t="shared" si="37"/>
        <v/>
      </c>
      <c r="P267" s="148"/>
      <c r="Q267" s="128" t="str">
        <f t="shared" si="38"/>
        <v/>
      </c>
      <c r="R267" s="148"/>
      <c r="S267" s="128" t="str">
        <f t="shared" si="39"/>
        <v/>
      </c>
      <c r="T267" s="47" t="str">
        <f t="shared" si="32"/>
        <v>OK!</v>
      </c>
    </row>
    <row r="268" spans="2:20" ht="16.5" x14ac:dyDescent="0.3">
      <c r="B268" s="129" t="s">
        <v>2594</v>
      </c>
      <c r="C268" s="128">
        <v>65.3</v>
      </c>
      <c r="D268" s="128">
        <v>66</v>
      </c>
      <c r="E268" s="128"/>
      <c r="F268" s="148" t="s">
        <v>2916</v>
      </c>
      <c r="G268" s="128">
        <f t="shared" si="33"/>
        <v>65.3</v>
      </c>
      <c r="H268" s="128"/>
      <c r="I268" s="128" t="str">
        <f t="shared" si="34"/>
        <v/>
      </c>
      <c r="J268" s="128"/>
      <c r="K268" s="128" t="str">
        <f t="shared" si="35"/>
        <v/>
      </c>
      <c r="L268" s="128"/>
      <c r="M268" s="128" t="str">
        <f t="shared" si="36"/>
        <v/>
      </c>
      <c r="N268" s="148"/>
      <c r="O268" s="128" t="str">
        <f t="shared" si="37"/>
        <v/>
      </c>
      <c r="P268" s="148"/>
      <c r="Q268" s="128" t="str">
        <f t="shared" si="38"/>
        <v/>
      </c>
      <c r="R268" s="148"/>
      <c r="S268" s="128" t="str">
        <f t="shared" si="39"/>
        <v/>
      </c>
      <c r="T268" s="47" t="str">
        <f t="shared" si="32"/>
        <v>OK!</v>
      </c>
    </row>
    <row r="269" spans="2:20" ht="16.5" x14ac:dyDescent="0.3">
      <c r="B269" s="136" t="s">
        <v>2761</v>
      </c>
      <c r="C269" s="128"/>
      <c r="D269" s="128"/>
      <c r="E269" s="128"/>
      <c r="F269" s="148"/>
      <c r="G269" s="128" t="str">
        <f t="shared" si="33"/>
        <v/>
      </c>
      <c r="H269" s="128"/>
      <c r="I269" s="128" t="str">
        <f t="shared" si="34"/>
        <v/>
      </c>
      <c r="J269" s="128"/>
      <c r="K269" s="128" t="str">
        <f t="shared" si="35"/>
        <v/>
      </c>
      <c r="L269" s="128"/>
      <c r="M269" s="128" t="str">
        <f t="shared" si="36"/>
        <v/>
      </c>
      <c r="N269" s="148"/>
      <c r="O269" s="128" t="str">
        <f t="shared" si="37"/>
        <v/>
      </c>
      <c r="P269" s="148"/>
      <c r="Q269" s="128" t="str">
        <f t="shared" si="38"/>
        <v/>
      </c>
      <c r="R269" s="148"/>
      <c r="S269" s="128" t="str">
        <f t="shared" si="39"/>
        <v/>
      </c>
      <c r="T269" s="47" t="str">
        <f t="shared" si="32"/>
        <v>OK!</v>
      </c>
    </row>
    <row r="270" spans="2:20" ht="16.5" x14ac:dyDescent="0.3">
      <c r="B270" s="129" t="s">
        <v>2762</v>
      </c>
      <c r="C270" s="128">
        <v>12.48</v>
      </c>
      <c r="D270" s="128">
        <v>14.35</v>
      </c>
      <c r="E270" s="128"/>
      <c r="F270" s="148"/>
      <c r="G270" s="128" t="str">
        <f t="shared" si="33"/>
        <v/>
      </c>
      <c r="H270" s="128" t="s">
        <v>2916</v>
      </c>
      <c r="I270" s="128">
        <f t="shared" si="34"/>
        <v>12.48</v>
      </c>
      <c r="J270" s="128"/>
      <c r="K270" s="128" t="str">
        <f t="shared" si="35"/>
        <v/>
      </c>
      <c r="L270" s="128"/>
      <c r="M270" s="128" t="str">
        <f t="shared" si="36"/>
        <v/>
      </c>
      <c r="N270" s="148"/>
      <c r="O270" s="128" t="str">
        <f t="shared" si="37"/>
        <v/>
      </c>
      <c r="P270" s="148"/>
      <c r="Q270" s="128" t="str">
        <f t="shared" si="38"/>
        <v/>
      </c>
      <c r="R270" s="148"/>
      <c r="S270" s="128" t="str">
        <f t="shared" si="39"/>
        <v/>
      </c>
      <c r="T270" s="47" t="str">
        <f t="shared" si="32"/>
        <v>OK!</v>
      </c>
    </row>
    <row r="271" spans="2:20" ht="16.5" x14ac:dyDescent="0.3">
      <c r="B271" s="129" t="s">
        <v>2591</v>
      </c>
      <c r="C271" s="128">
        <v>3.96</v>
      </c>
      <c r="D271" s="128">
        <v>8.1</v>
      </c>
      <c r="E271" s="128"/>
      <c r="F271" s="148"/>
      <c r="G271" s="128" t="str">
        <f t="shared" si="33"/>
        <v/>
      </c>
      <c r="H271" s="128" t="s">
        <v>2916</v>
      </c>
      <c r="I271" s="128">
        <f t="shared" si="34"/>
        <v>3.96</v>
      </c>
      <c r="J271" s="128"/>
      <c r="K271" s="128" t="str">
        <f t="shared" si="35"/>
        <v/>
      </c>
      <c r="L271" s="128"/>
      <c r="M271" s="128" t="str">
        <f t="shared" si="36"/>
        <v/>
      </c>
      <c r="N271" s="148"/>
      <c r="O271" s="128" t="str">
        <f t="shared" si="37"/>
        <v/>
      </c>
      <c r="P271" s="148"/>
      <c r="Q271" s="128" t="str">
        <f t="shared" si="38"/>
        <v/>
      </c>
      <c r="R271" s="148"/>
      <c r="S271" s="128" t="str">
        <f t="shared" si="39"/>
        <v/>
      </c>
      <c r="T271" s="47" t="str">
        <f t="shared" si="32"/>
        <v>OK!</v>
      </c>
    </row>
    <row r="272" spans="2:20" ht="16.5" x14ac:dyDescent="0.3">
      <c r="B272" s="129" t="s">
        <v>2607</v>
      </c>
      <c r="C272" s="128">
        <v>21.82</v>
      </c>
      <c r="D272" s="128">
        <v>18.899999999999999</v>
      </c>
      <c r="E272" s="128"/>
      <c r="F272" s="148"/>
      <c r="G272" s="128" t="str">
        <f t="shared" si="33"/>
        <v/>
      </c>
      <c r="H272" s="128" t="s">
        <v>2916</v>
      </c>
      <c r="I272" s="128">
        <f t="shared" si="34"/>
        <v>21.82</v>
      </c>
      <c r="J272" s="128"/>
      <c r="K272" s="128" t="str">
        <f t="shared" si="35"/>
        <v/>
      </c>
      <c r="L272" s="128"/>
      <c r="M272" s="128" t="str">
        <f t="shared" si="36"/>
        <v/>
      </c>
      <c r="N272" s="148"/>
      <c r="O272" s="128" t="str">
        <f t="shared" si="37"/>
        <v/>
      </c>
      <c r="P272" s="148"/>
      <c r="Q272" s="128" t="str">
        <f t="shared" si="38"/>
        <v/>
      </c>
      <c r="R272" s="148"/>
      <c r="S272" s="128" t="str">
        <f t="shared" si="39"/>
        <v/>
      </c>
      <c r="T272" s="47" t="str">
        <f t="shared" si="32"/>
        <v>OK!</v>
      </c>
    </row>
    <row r="273" spans="2:20" ht="16.5" x14ac:dyDescent="0.3">
      <c r="B273" s="129" t="s">
        <v>2763</v>
      </c>
      <c r="C273" s="128">
        <v>17.989999999999998</v>
      </c>
      <c r="D273" s="128">
        <v>17.3</v>
      </c>
      <c r="E273" s="128"/>
      <c r="F273" s="148"/>
      <c r="G273" s="128" t="str">
        <f t="shared" si="33"/>
        <v/>
      </c>
      <c r="H273" s="128" t="s">
        <v>2916</v>
      </c>
      <c r="I273" s="128">
        <f t="shared" si="34"/>
        <v>17.989999999999998</v>
      </c>
      <c r="J273" s="128"/>
      <c r="K273" s="128" t="str">
        <f t="shared" si="35"/>
        <v/>
      </c>
      <c r="L273" s="128"/>
      <c r="M273" s="128" t="str">
        <f t="shared" si="36"/>
        <v/>
      </c>
      <c r="N273" s="148"/>
      <c r="O273" s="128" t="str">
        <f t="shared" si="37"/>
        <v/>
      </c>
      <c r="P273" s="148"/>
      <c r="Q273" s="128" t="str">
        <f t="shared" si="38"/>
        <v/>
      </c>
      <c r="R273" s="148"/>
      <c r="S273" s="128" t="str">
        <f t="shared" si="39"/>
        <v/>
      </c>
      <c r="T273" s="47" t="str">
        <f t="shared" si="32"/>
        <v>OK!</v>
      </c>
    </row>
    <row r="274" spans="2:20" ht="16.5" x14ac:dyDescent="0.3">
      <c r="B274" s="129" t="s">
        <v>2764</v>
      </c>
      <c r="C274" s="128">
        <v>17.989999999999998</v>
      </c>
      <c r="D274" s="128">
        <v>17.3</v>
      </c>
      <c r="E274" s="128"/>
      <c r="F274" s="148"/>
      <c r="G274" s="128" t="str">
        <f t="shared" si="33"/>
        <v/>
      </c>
      <c r="H274" s="128" t="s">
        <v>2916</v>
      </c>
      <c r="I274" s="128">
        <f t="shared" si="34"/>
        <v>17.989999999999998</v>
      </c>
      <c r="J274" s="128"/>
      <c r="K274" s="128" t="str">
        <f t="shared" si="35"/>
        <v/>
      </c>
      <c r="L274" s="128"/>
      <c r="M274" s="128" t="str">
        <f t="shared" si="36"/>
        <v/>
      </c>
      <c r="N274" s="148"/>
      <c r="O274" s="128" t="str">
        <f t="shared" si="37"/>
        <v/>
      </c>
      <c r="P274" s="148"/>
      <c r="Q274" s="128" t="str">
        <f t="shared" si="38"/>
        <v/>
      </c>
      <c r="R274" s="148"/>
      <c r="S274" s="128" t="str">
        <f t="shared" si="39"/>
        <v/>
      </c>
      <c r="T274" s="47" t="str">
        <f t="shared" si="32"/>
        <v>OK!</v>
      </c>
    </row>
    <row r="275" spans="2:20" ht="16.5" x14ac:dyDescent="0.3">
      <c r="B275" s="129" t="s">
        <v>2660</v>
      </c>
      <c r="C275" s="128">
        <v>2.16</v>
      </c>
      <c r="D275" s="128">
        <v>6</v>
      </c>
      <c r="E275" s="128"/>
      <c r="F275" s="148"/>
      <c r="G275" s="128" t="str">
        <f t="shared" si="33"/>
        <v/>
      </c>
      <c r="H275" s="128" t="s">
        <v>2916</v>
      </c>
      <c r="I275" s="128">
        <f t="shared" si="34"/>
        <v>2.16</v>
      </c>
      <c r="J275" s="128"/>
      <c r="K275" s="128" t="str">
        <f t="shared" si="35"/>
        <v/>
      </c>
      <c r="L275" s="128"/>
      <c r="M275" s="128" t="str">
        <f t="shared" si="36"/>
        <v/>
      </c>
      <c r="N275" s="148"/>
      <c r="O275" s="128" t="str">
        <f t="shared" si="37"/>
        <v/>
      </c>
      <c r="P275" s="148"/>
      <c r="Q275" s="128" t="str">
        <f t="shared" si="38"/>
        <v/>
      </c>
      <c r="R275" s="148"/>
      <c r="S275" s="128" t="str">
        <f t="shared" si="39"/>
        <v/>
      </c>
      <c r="T275" s="47" t="str">
        <f t="shared" si="32"/>
        <v>OK!</v>
      </c>
    </row>
    <row r="276" spans="2:20" ht="16.5" x14ac:dyDescent="0.3">
      <c r="B276" s="129" t="s">
        <v>2661</v>
      </c>
      <c r="C276" s="128">
        <v>2.65</v>
      </c>
      <c r="D276" s="128">
        <v>7.4</v>
      </c>
      <c r="E276" s="128"/>
      <c r="F276" s="148"/>
      <c r="G276" s="128" t="str">
        <f t="shared" si="33"/>
        <v/>
      </c>
      <c r="H276" s="128" t="s">
        <v>2916</v>
      </c>
      <c r="I276" s="128">
        <f t="shared" si="34"/>
        <v>2.65</v>
      </c>
      <c r="J276" s="128"/>
      <c r="K276" s="128" t="str">
        <f t="shared" si="35"/>
        <v/>
      </c>
      <c r="L276" s="128"/>
      <c r="M276" s="128" t="str">
        <f t="shared" si="36"/>
        <v/>
      </c>
      <c r="N276" s="148"/>
      <c r="O276" s="128" t="str">
        <f t="shared" si="37"/>
        <v/>
      </c>
      <c r="P276" s="148"/>
      <c r="Q276" s="128" t="str">
        <f t="shared" si="38"/>
        <v/>
      </c>
      <c r="R276" s="148"/>
      <c r="S276" s="128" t="str">
        <f t="shared" si="39"/>
        <v/>
      </c>
      <c r="T276" s="47" t="str">
        <f t="shared" si="32"/>
        <v>OK!</v>
      </c>
    </row>
    <row r="277" spans="2:20" ht="16.5" x14ac:dyDescent="0.3">
      <c r="B277" s="129" t="s">
        <v>2611</v>
      </c>
      <c r="C277" s="128">
        <v>3.48</v>
      </c>
      <c r="D277" s="128">
        <v>8.1999999999999993</v>
      </c>
      <c r="E277" s="128"/>
      <c r="F277" s="148"/>
      <c r="G277" s="128" t="str">
        <f t="shared" si="33"/>
        <v/>
      </c>
      <c r="H277" s="128" t="s">
        <v>2916</v>
      </c>
      <c r="I277" s="128">
        <f t="shared" si="34"/>
        <v>3.48</v>
      </c>
      <c r="J277" s="128"/>
      <c r="K277" s="128" t="str">
        <f t="shared" si="35"/>
        <v/>
      </c>
      <c r="L277" s="128"/>
      <c r="M277" s="128" t="str">
        <f t="shared" si="36"/>
        <v/>
      </c>
      <c r="N277" s="148"/>
      <c r="O277" s="128" t="str">
        <f t="shared" si="37"/>
        <v/>
      </c>
      <c r="P277" s="148"/>
      <c r="Q277" s="128" t="str">
        <f t="shared" si="38"/>
        <v/>
      </c>
      <c r="R277" s="148"/>
      <c r="S277" s="128" t="str">
        <f t="shared" si="39"/>
        <v/>
      </c>
      <c r="T277" s="47" t="str">
        <f t="shared" si="32"/>
        <v>OK!</v>
      </c>
    </row>
    <row r="278" spans="2:20" ht="16.5" x14ac:dyDescent="0.3">
      <c r="B278" s="129" t="s">
        <v>2765</v>
      </c>
      <c r="C278" s="128">
        <v>6.71</v>
      </c>
      <c r="D278" s="128">
        <v>10.5</v>
      </c>
      <c r="E278" s="128"/>
      <c r="F278" s="148"/>
      <c r="G278" s="128" t="str">
        <f t="shared" si="33"/>
        <v/>
      </c>
      <c r="H278" s="128" t="s">
        <v>2916</v>
      </c>
      <c r="I278" s="128">
        <f t="shared" si="34"/>
        <v>6.71</v>
      </c>
      <c r="J278" s="128"/>
      <c r="K278" s="128" t="str">
        <f t="shared" si="35"/>
        <v/>
      </c>
      <c r="L278" s="128"/>
      <c r="M278" s="128" t="str">
        <f t="shared" si="36"/>
        <v/>
      </c>
      <c r="N278" s="148"/>
      <c r="O278" s="128" t="str">
        <f t="shared" si="37"/>
        <v/>
      </c>
      <c r="P278" s="148"/>
      <c r="Q278" s="128" t="str">
        <f t="shared" si="38"/>
        <v/>
      </c>
      <c r="R278" s="148"/>
      <c r="S278" s="128" t="str">
        <f t="shared" si="39"/>
        <v/>
      </c>
      <c r="T278" s="47" t="str">
        <f t="shared" si="32"/>
        <v>OK!</v>
      </c>
    </row>
    <row r="279" spans="2:20" ht="16.5" x14ac:dyDescent="0.3">
      <c r="B279" s="129" t="s">
        <v>2611</v>
      </c>
      <c r="C279" s="128">
        <v>3.48</v>
      </c>
      <c r="D279" s="128">
        <v>8.1999999999999993</v>
      </c>
      <c r="E279" s="128"/>
      <c r="F279" s="148"/>
      <c r="G279" s="128" t="str">
        <f t="shared" si="33"/>
        <v/>
      </c>
      <c r="H279" s="128" t="s">
        <v>2916</v>
      </c>
      <c r="I279" s="128">
        <f t="shared" si="34"/>
        <v>3.48</v>
      </c>
      <c r="J279" s="128"/>
      <c r="K279" s="128" t="str">
        <f t="shared" si="35"/>
        <v/>
      </c>
      <c r="L279" s="128"/>
      <c r="M279" s="128" t="str">
        <f t="shared" si="36"/>
        <v/>
      </c>
      <c r="N279" s="148"/>
      <c r="O279" s="128" t="str">
        <f t="shared" si="37"/>
        <v/>
      </c>
      <c r="P279" s="148"/>
      <c r="Q279" s="128" t="str">
        <f t="shared" si="38"/>
        <v/>
      </c>
      <c r="R279" s="148"/>
      <c r="S279" s="128" t="str">
        <f t="shared" si="39"/>
        <v/>
      </c>
      <c r="T279" s="47" t="str">
        <f t="shared" si="32"/>
        <v>OK!</v>
      </c>
    </row>
    <row r="280" spans="2:20" ht="16.5" x14ac:dyDescent="0.3">
      <c r="B280" s="129" t="s">
        <v>2660</v>
      </c>
      <c r="C280" s="128">
        <v>2.16</v>
      </c>
      <c r="D280" s="128">
        <v>6</v>
      </c>
      <c r="E280" s="128"/>
      <c r="F280" s="148"/>
      <c r="G280" s="128" t="str">
        <f t="shared" si="33"/>
        <v/>
      </c>
      <c r="H280" s="128" t="s">
        <v>2916</v>
      </c>
      <c r="I280" s="128">
        <f t="shared" si="34"/>
        <v>2.16</v>
      </c>
      <c r="J280" s="128"/>
      <c r="K280" s="128" t="str">
        <f t="shared" si="35"/>
        <v/>
      </c>
      <c r="L280" s="128"/>
      <c r="M280" s="128" t="str">
        <f t="shared" si="36"/>
        <v/>
      </c>
      <c r="N280" s="148"/>
      <c r="O280" s="128" t="str">
        <f t="shared" si="37"/>
        <v/>
      </c>
      <c r="P280" s="148"/>
      <c r="Q280" s="128" t="str">
        <f t="shared" si="38"/>
        <v/>
      </c>
      <c r="R280" s="148"/>
      <c r="S280" s="128" t="str">
        <f t="shared" si="39"/>
        <v/>
      </c>
      <c r="T280" s="47" t="str">
        <f t="shared" si="32"/>
        <v>OK!</v>
      </c>
    </row>
    <row r="281" spans="2:20" ht="16.5" x14ac:dyDescent="0.3">
      <c r="B281" s="129" t="s">
        <v>2661</v>
      </c>
      <c r="C281" s="128">
        <v>2.65</v>
      </c>
      <c r="D281" s="128">
        <v>7.4</v>
      </c>
      <c r="E281" s="128"/>
      <c r="F281" s="148"/>
      <c r="G281" s="128" t="str">
        <f t="shared" si="33"/>
        <v/>
      </c>
      <c r="H281" s="128" t="s">
        <v>2916</v>
      </c>
      <c r="I281" s="128">
        <f t="shared" si="34"/>
        <v>2.65</v>
      </c>
      <c r="J281" s="128"/>
      <c r="K281" s="128" t="str">
        <f t="shared" si="35"/>
        <v/>
      </c>
      <c r="L281" s="128"/>
      <c r="M281" s="128" t="str">
        <f t="shared" si="36"/>
        <v/>
      </c>
      <c r="N281" s="148"/>
      <c r="O281" s="128" t="str">
        <f t="shared" si="37"/>
        <v/>
      </c>
      <c r="P281" s="148"/>
      <c r="Q281" s="128" t="str">
        <f t="shared" si="38"/>
        <v/>
      </c>
      <c r="R281" s="148"/>
      <c r="S281" s="128" t="str">
        <f t="shared" si="39"/>
        <v/>
      </c>
      <c r="T281" s="47" t="str">
        <f t="shared" si="32"/>
        <v>OK!</v>
      </c>
    </row>
    <row r="282" spans="2:20" ht="16.5" x14ac:dyDescent="0.3">
      <c r="B282" s="129" t="s">
        <v>2766</v>
      </c>
      <c r="C282" s="128">
        <v>40</v>
      </c>
      <c r="D282" s="128">
        <v>23.9</v>
      </c>
      <c r="E282" s="128"/>
      <c r="F282" s="148"/>
      <c r="G282" s="128" t="str">
        <f t="shared" si="33"/>
        <v/>
      </c>
      <c r="H282" s="128"/>
      <c r="I282" s="128" t="str">
        <f t="shared" si="34"/>
        <v/>
      </c>
      <c r="J282" s="128" t="s">
        <v>2916</v>
      </c>
      <c r="K282" s="128">
        <f t="shared" si="35"/>
        <v>40</v>
      </c>
      <c r="L282" s="128"/>
      <c r="M282" s="128" t="str">
        <f t="shared" si="36"/>
        <v/>
      </c>
      <c r="N282" s="148"/>
      <c r="O282" s="128" t="str">
        <f t="shared" si="37"/>
        <v/>
      </c>
      <c r="P282" s="148"/>
      <c r="Q282" s="128" t="str">
        <f t="shared" si="38"/>
        <v/>
      </c>
      <c r="R282" s="148"/>
      <c r="S282" s="128" t="str">
        <f t="shared" si="39"/>
        <v/>
      </c>
      <c r="T282" s="47" t="str">
        <f t="shared" si="32"/>
        <v>OK!</v>
      </c>
    </row>
    <row r="283" spans="2:20" ht="16.5" x14ac:dyDescent="0.3">
      <c r="B283" s="129" t="s">
        <v>2767</v>
      </c>
      <c r="C283" s="128">
        <v>52.78</v>
      </c>
      <c r="D283" s="128">
        <v>28.54</v>
      </c>
      <c r="E283" s="128"/>
      <c r="F283" s="148"/>
      <c r="G283" s="128" t="str">
        <f t="shared" si="33"/>
        <v/>
      </c>
      <c r="H283" s="128"/>
      <c r="I283" s="128" t="str">
        <f t="shared" si="34"/>
        <v/>
      </c>
      <c r="J283" s="128" t="s">
        <v>2916</v>
      </c>
      <c r="K283" s="128">
        <f t="shared" si="35"/>
        <v>52.78</v>
      </c>
      <c r="L283" s="128"/>
      <c r="M283" s="128" t="str">
        <f t="shared" si="36"/>
        <v/>
      </c>
      <c r="N283" s="148"/>
      <c r="O283" s="128" t="str">
        <f t="shared" si="37"/>
        <v/>
      </c>
      <c r="P283" s="148"/>
      <c r="Q283" s="128" t="str">
        <f t="shared" si="38"/>
        <v/>
      </c>
      <c r="R283" s="148"/>
      <c r="S283" s="128" t="str">
        <f t="shared" si="39"/>
        <v/>
      </c>
      <c r="T283" s="47" t="str">
        <f t="shared" si="32"/>
        <v>OK!</v>
      </c>
    </row>
    <row r="284" spans="2:20" ht="16.5" x14ac:dyDescent="0.3">
      <c r="B284" s="129" t="s">
        <v>2768</v>
      </c>
      <c r="C284" s="128">
        <v>21.7</v>
      </c>
      <c r="D284" s="128">
        <v>20.399999999999999</v>
      </c>
      <c r="E284" s="128"/>
      <c r="F284" s="148"/>
      <c r="G284" s="128" t="str">
        <f t="shared" si="33"/>
        <v/>
      </c>
      <c r="H284" s="128"/>
      <c r="I284" s="128" t="str">
        <f t="shared" si="34"/>
        <v/>
      </c>
      <c r="J284" s="128" t="s">
        <v>2916</v>
      </c>
      <c r="K284" s="128">
        <f t="shared" si="35"/>
        <v>21.7</v>
      </c>
      <c r="L284" s="128"/>
      <c r="M284" s="128" t="str">
        <f t="shared" si="36"/>
        <v/>
      </c>
      <c r="N284" s="148"/>
      <c r="O284" s="128" t="str">
        <f t="shared" si="37"/>
        <v/>
      </c>
      <c r="P284" s="148"/>
      <c r="Q284" s="128" t="str">
        <f t="shared" si="38"/>
        <v/>
      </c>
      <c r="R284" s="148"/>
      <c r="S284" s="128" t="str">
        <f t="shared" si="39"/>
        <v/>
      </c>
      <c r="T284" s="47" t="str">
        <f t="shared" si="32"/>
        <v>OK!</v>
      </c>
    </row>
    <row r="285" spans="2:20" ht="16.5" x14ac:dyDescent="0.3">
      <c r="B285" s="129" t="s">
        <v>2769</v>
      </c>
      <c r="C285" s="128">
        <v>32.51</v>
      </c>
      <c r="D285" s="128">
        <v>21.6</v>
      </c>
      <c r="E285" s="128"/>
      <c r="F285" s="148"/>
      <c r="G285" s="128" t="str">
        <f t="shared" si="33"/>
        <v/>
      </c>
      <c r="H285" s="128"/>
      <c r="I285" s="128" t="str">
        <f t="shared" si="34"/>
        <v/>
      </c>
      <c r="J285" s="128" t="s">
        <v>2916</v>
      </c>
      <c r="K285" s="128">
        <f t="shared" si="35"/>
        <v>32.51</v>
      </c>
      <c r="L285" s="128"/>
      <c r="M285" s="128" t="str">
        <f t="shared" si="36"/>
        <v/>
      </c>
      <c r="N285" s="148"/>
      <c r="O285" s="128" t="str">
        <f t="shared" si="37"/>
        <v/>
      </c>
      <c r="P285" s="148"/>
      <c r="Q285" s="128" t="str">
        <f t="shared" si="38"/>
        <v/>
      </c>
      <c r="R285" s="148"/>
      <c r="S285" s="128" t="str">
        <f t="shared" si="39"/>
        <v/>
      </c>
      <c r="T285" s="47" t="str">
        <f t="shared" si="32"/>
        <v>OK!</v>
      </c>
    </row>
    <row r="286" spans="2:20" ht="16.5" x14ac:dyDescent="0.3">
      <c r="B286" s="129" t="s">
        <v>2770</v>
      </c>
      <c r="C286" s="128">
        <v>32.299999999999997</v>
      </c>
      <c r="D286" s="128">
        <v>21.45</v>
      </c>
      <c r="E286" s="128"/>
      <c r="F286" s="148"/>
      <c r="G286" s="128" t="str">
        <f t="shared" si="33"/>
        <v/>
      </c>
      <c r="H286" s="128"/>
      <c r="I286" s="128" t="str">
        <f t="shared" si="34"/>
        <v/>
      </c>
      <c r="J286" s="128" t="s">
        <v>2916</v>
      </c>
      <c r="K286" s="128">
        <f t="shared" si="35"/>
        <v>32.299999999999997</v>
      </c>
      <c r="L286" s="128"/>
      <c r="M286" s="128" t="str">
        <f t="shared" si="36"/>
        <v/>
      </c>
      <c r="N286" s="148"/>
      <c r="O286" s="128" t="str">
        <f t="shared" si="37"/>
        <v/>
      </c>
      <c r="P286" s="148"/>
      <c r="Q286" s="128" t="str">
        <f t="shared" si="38"/>
        <v/>
      </c>
      <c r="R286" s="148"/>
      <c r="S286" s="128" t="str">
        <f t="shared" si="39"/>
        <v/>
      </c>
      <c r="T286" s="47" t="str">
        <f t="shared" si="32"/>
        <v>OK!</v>
      </c>
    </row>
    <row r="287" spans="2:20" ht="16.5" x14ac:dyDescent="0.3">
      <c r="B287" s="129" t="s">
        <v>2771</v>
      </c>
      <c r="C287" s="128">
        <v>17.71</v>
      </c>
      <c r="D287" s="128">
        <v>20.8</v>
      </c>
      <c r="E287" s="128"/>
      <c r="F287" s="148"/>
      <c r="G287" s="128" t="str">
        <f t="shared" si="33"/>
        <v/>
      </c>
      <c r="H287" s="128" t="s">
        <v>2916</v>
      </c>
      <c r="I287" s="128">
        <f t="shared" si="34"/>
        <v>17.71</v>
      </c>
      <c r="J287" s="128"/>
      <c r="K287" s="128" t="str">
        <f t="shared" si="35"/>
        <v/>
      </c>
      <c r="L287" s="128"/>
      <c r="M287" s="128" t="str">
        <f t="shared" si="36"/>
        <v/>
      </c>
      <c r="N287" s="148"/>
      <c r="O287" s="128" t="str">
        <f t="shared" si="37"/>
        <v/>
      </c>
      <c r="P287" s="148"/>
      <c r="Q287" s="128" t="str">
        <f t="shared" si="38"/>
        <v/>
      </c>
      <c r="R287" s="148"/>
      <c r="S287" s="128" t="str">
        <f t="shared" si="39"/>
        <v/>
      </c>
      <c r="T287" s="47" t="str">
        <f t="shared" si="32"/>
        <v>OK!</v>
      </c>
    </row>
    <row r="288" spans="2:20" ht="16.5" x14ac:dyDescent="0.3">
      <c r="B288" s="129" t="s">
        <v>2772</v>
      </c>
      <c r="C288" s="128">
        <v>37.450000000000003</v>
      </c>
      <c r="D288" s="128">
        <v>23.98</v>
      </c>
      <c r="E288" s="128"/>
      <c r="F288" s="148"/>
      <c r="G288" s="128" t="str">
        <f t="shared" si="33"/>
        <v/>
      </c>
      <c r="H288" s="128"/>
      <c r="I288" s="128" t="str">
        <f t="shared" si="34"/>
        <v/>
      </c>
      <c r="J288" s="128" t="s">
        <v>2916</v>
      </c>
      <c r="K288" s="128">
        <f t="shared" si="35"/>
        <v>37.450000000000003</v>
      </c>
      <c r="L288" s="128"/>
      <c r="M288" s="128" t="str">
        <f t="shared" si="36"/>
        <v/>
      </c>
      <c r="N288" s="148"/>
      <c r="O288" s="128" t="str">
        <f t="shared" si="37"/>
        <v/>
      </c>
      <c r="P288" s="148"/>
      <c r="Q288" s="128" t="str">
        <f t="shared" si="38"/>
        <v/>
      </c>
      <c r="R288" s="148"/>
      <c r="S288" s="128" t="str">
        <f t="shared" si="39"/>
        <v/>
      </c>
      <c r="T288" s="47" t="str">
        <f t="shared" si="32"/>
        <v>OK!</v>
      </c>
    </row>
    <row r="289" spans="1:20" ht="16.5" x14ac:dyDescent="0.3">
      <c r="B289" s="129" t="s">
        <v>2773</v>
      </c>
      <c r="C289" s="128">
        <v>17</v>
      </c>
      <c r="D289" s="128">
        <v>19.07</v>
      </c>
      <c r="E289" s="128">
        <f>1.76+1.17</f>
        <v>2.9299999999999997</v>
      </c>
      <c r="F289" s="148"/>
      <c r="G289" s="128" t="str">
        <f t="shared" si="33"/>
        <v/>
      </c>
      <c r="H289" s="128" t="s">
        <v>2916</v>
      </c>
      <c r="I289" s="128">
        <f t="shared" si="34"/>
        <v>17</v>
      </c>
      <c r="J289" s="128"/>
      <c r="K289" s="128" t="str">
        <f t="shared" si="35"/>
        <v/>
      </c>
      <c r="L289" s="128"/>
      <c r="M289" s="128" t="str">
        <f t="shared" si="36"/>
        <v/>
      </c>
      <c r="N289" s="148"/>
      <c r="O289" s="128" t="str">
        <f t="shared" si="37"/>
        <v/>
      </c>
      <c r="P289" s="148"/>
      <c r="Q289" s="128" t="str">
        <f t="shared" si="38"/>
        <v/>
      </c>
      <c r="R289" s="148"/>
      <c r="S289" s="128" t="str">
        <f t="shared" si="39"/>
        <v/>
      </c>
      <c r="T289" s="47" t="str">
        <f t="shared" si="32"/>
        <v>OK!</v>
      </c>
    </row>
    <row r="290" spans="1:20" ht="16.5" x14ac:dyDescent="0.3">
      <c r="B290" s="129" t="s">
        <v>2774</v>
      </c>
      <c r="C290" s="128">
        <v>11.49</v>
      </c>
      <c r="D290" s="128">
        <v>14.31</v>
      </c>
      <c r="E290" s="128"/>
      <c r="F290" s="148"/>
      <c r="G290" s="128" t="str">
        <f t="shared" si="33"/>
        <v/>
      </c>
      <c r="H290" s="128" t="s">
        <v>2916</v>
      </c>
      <c r="I290" s="128">
        <f t="shared" si="34"/>
        <v>11.49</v>
      </c>
      <c r="J290" s="128"/>
      <c r="K290" s="128" t="str">
        <f t="shared" si="35"/>
        <v/>
      </c>
      <c r="L290" s="128"/>
      <c r="M290" s="128" t="str">
        <f t="shared" si="36"/>
        <v/>
      </c>
      <c r="N290" s="148"/>
      <c r="O290" s="128" t="str">
        <f t="shared" si="37"/>
        <v/>
      </c>
      <c r="P290" s="148"/>
      <c r="Q290" s="128" t="str">
        <f t="shared" si="38"/>
        <v/>
      </c>
      <c r="R290" s="148"/>
      <c r="S290" s="128" t="str">
        <f t="shared" si="39"/>
        <v/>
      </c>
      <c r="T290" s="47" t="str">
        <f t="shared" si="32"/>
        <v>OK!</v>
      </c>
    </row>
    <row r="291" spans="1:20" ht="16.5" x14ac:dyDescent="0.3">
      <c r="B291" s="129" t="s">
        <v>2775</v>
      </c>
      <c r="C291" s="128">
        <v>6.17</v>
      </c>
      <c r="D291" s="128">
        <v>10.06</v>
      </c>
      <c r="E291" s="128">
        <v>2.9</v>
      </c>
      <c r="F291" s="148"/>
      <c r="G291" s="128" t="str">
        <f t="shared" si="33"/>
        <v/>
      </c>
      <c r="H291" s="128" t="s">
        <v>2916</v>
      </c>
      <c r="I291" s="128">
        <f t="shared" si="34"/>
        <v>6.17</v>
      </c>
      <c r="J291" s="128"/>
      <c r="K291" s="128" t="str">
        <f t="shared" si="35"/>
        <v/>
      </c>
      <c r="L291" s="128"/>
      <c r="M291" s="128" t="str">
        <f t="shared" si="36"/>
        <v/>
      </c>
      <c r="N291" s="148"/>
      <c r="O291" s="128" t="str">
        <f t="shared" si="37"/>
        <v/>
      </c>
      <c r="P291" s="148"/>
      <c r="Q291" s="128" t="str">
        <f t="shared" si="38"/>
        <v/>
      </c>
      <c r="R291" s="148"/>
      <c r="S291" s="128" t="str">
        <f t="shared" si="39"/>
        <v/>
      </c>
      <c r="T291" s="47" t="str">
        <f t="shared" si="32"/>
        <v>OK!</v>
      </c>
    </row>
    <row r="292" spans="1:20" ht="16.5" x14ac:dyDescent="0.3">
      <c r="B292" s="129" t="s">
        <v>2776</v>
      </c>
      <c r="C292" s="128">
        <v>9.36</v>
      </c>
      <c r="D292" s="128">
        <v>12.6</v>
      </c>
      <c r="E292" s="128">
        <v>2.4</v>
      </c>
      <c r="F292" s="148"/>
      <c r="G292" s="128" t="str">
        <f t="shared" si="33"/>
        <v/>
      </c>
      <c r="H292" s="128" t="s">
        <v>2916</v>
      </c>
      <c r="I292" s="128">
        <f t="shared" si="34"/>
        <v>9.36</v>
      </c>
      <c r="J292" s="128"/>
      <c r="K292" s="128" t="str">
        <f t="shared" si="35"/>
        <v/>
      </c>
      <c r="L292" s="128"/>
      <c r="M292" s="128" t="str">
        <f t="shared" si="36"/>
        <v/>
      </c>
      <c r="N292" s="148"/>
      <c r="O292" s="128" t="str">
        <f t="shared" si="37"/>
        <v/>
      </c>
      <c r="P292" s="148"/>
      <c r="Q292" s="128" t="str">
        <f t="shared" si="38"/>
        <v/>
      </c>
      <c r="R292" s="148"/>
      <c r="S292" s="128" t="str">
        <f t="shared" si="39"/>
        <v/>
      </c>
      <c r="T292" s="47" t="str">
        <f t="shared" si="32"/>
        <v>OK!</v>
      </c>
    </row>
    <row r="293" spans="1:20" ht="16.5" x14ac:dyDescent="0.3">
      <c r="B293" s="129" t="s">
        <v>2594</v>
      </c>
      <c r="C293" s="128">
        <v>62.96</v>
      </c>
      <c r="D293" s="128">
        <v>50.57</v>
      </c>
      <c r="E293" s="128">
        <f>2.9+2.4+2.93</f>
        <v>8.23</v>
      </c>
      <c r="F293" s="148"/>
      <c r="G293" s="128" t="str">
        <f t="shared" si="33"/>
        <v/>
      </c>
      <c r="H293" s="128" t="s">
        <v>2916</v>
      </c>
      <c r="I293" s="128">
        <f t="shared" si="34"/>
        <v>62.96</v>
      </c>
      <c r="J293" s="128"/>
      <c r="K293" s="128" t="str">
        <f t="shared" si="35"/>
        <v/>
      </c>
      <c r="L293" s="128"/>
      <c r="M293" s="128" t="str">
        <f t="shared" si="36"/>
        <v/>
      </c>
      <c r="N293" s="148"/>
      <c r="O293" s="128" t="str">
        <f t="shared" si="37"/>
        <v/>
      </c>
      <c r="P293" s="148"/>
      <c r="Q293" s="128" t="str">
        <f t="shared" si="38"/>
        <v/>
      </c>
      <c r="R293" s="148"/>
      <c r="S293" s="128" t="str">
        <f t="shared" si="39"/>
        <v/>
      </c>
      <c r="T293" s="47" t="str">
        <f t="shared" si="32"/>
        <v>OK!</v>
      </c>
    </row>
    <row r="294" spans="1:20" ht="16.5" x14ac:dyDescent="0.3">
      <c r="B294" s="129" t="s">
        <v>2594</v>
      </c>
      <c r="C294" s="128">
        <v>53.13</v>
      </c>
      <c r="D294" s="128">
        <v>43.89</v>
      </c>
      <c r="E294" s="128"/>
      <c r="F294" s="148"/>
      <c r="G294" s="128" t="str">
        <f t="shared" si="33"/>
        <v/>
      </c>
      <c r="H294" s="128" t="s">
        <v>2916</v>
      </c>
      <c r="I294" s="128">
        <f t="shared" si="34"/>
        <v>53.13</v>
      </c>
      <c r="J294" s="128"/>
      <c r="K294" s="128" t="str">
        <f t="shared" si="35"/>
        <v/>
      </c>
      <c r="L294" s="128"/>
      <c r="M294" s="128" t="str">
        <f t="shared" si="36"/>
        <v/>
      </c>
      <c r="N294" s="148"/>
      <c r="O294" s="128" t="str">
        <f t="shared" si="37"/>
        <v/>
      </c>
      <c r="P294" s="148"/>
      <c r="Q294" s="128" t="str">
        <f t="shared" si="38"/>
        <v/>
      </c>
      <c r="R294" s="148"/>
      <c r="S294" s="128" t="str">
        <f t="shared" si="39"/>
        <v/>
      </c>
      <c r="T294" s="47" t="str">
        <f t="shared" si="32"/>
        <v>OK!</v>
      </c>
    </row>
    <row r="295" spans="1:20" ht="16.5" x14ac:dyDescent="0.3">
      <c r="B295" s="129" t="s">
        <v>2777</v>
      </c>
      <c r="C295" s="128">
        <v>5.89</v>
      </c>
      <c r="D295" s="128">
        <v>10.64</v>
      </c>
      <c r="E295" s="128"/>
      <c r="F295" s="148"/>
      <c r="G295" s="128" t="str">
        <f t="shared" si="33"/>
        <v/>
      </c>
      <c r="H295" s="128" t="s">
        <v>2916</v>
      </c>
      <c r="I295" s="128">
        <f t="shared" si="34"/>
        <v>5.89</v>
      </c>
      <c r="J295" s="128"/>
      <c r="K295" s="128" t="str">
        <f t="shared" si="35"/>
        <v/>
      </c>
      <c r="L295" s="128"/>
      <c r="M295" s="128" t="str">
        <f t="shared" si="36"/>
        <v/>
      </c>
      <c r="N295" s="148"/>
      <c r="O295" s="128" t="str">
        <f t="shared" si="37"/>
        <v/>
      </c>
      <c r="P295" s="148"/>
      <c r="Q295" s="128" t="str">
        <f t="shared" si="38"/>
        <v/>
      </c>
      <c r="R295" s="148"/>
      <c r="S295" s="128" t="str">
        <f t="shared" si="39"/>
        <v/>
      </c>
      <c r="T295" s="47" t="str">
        <f t="shared" si="32"/>
        <v>OK!</v>
      </c>
    </row>
    <row r="296" spans="1:20" ht="16.5" x14ac:dyDescent="0.3">
      <c r="B296" s="129" t="s">
        <v>2778</v>
      </c>
      <c r="C296" s="128">
        <v>66.42</v>
      </c>
      <c r="D296" s="128">
        <v>33.299999999999997</v>
      </c>
      <c r="E296" s="128"/>
      <c r="F296" s="148"/>
      <c r="G296" s="128" t="str">
        <f t="shared" si="33"/>
        <v/>
      </c>
      <c r="H296" s="128" t="s">
        <v>2916</v>
      </c>
      <c r="I296" s="128">
        <f t="shared" si="34"/>
        <v>66.42</v>
      </c>
      <c r="J296" s="128"/>
      <c r="K296" s="128" t="str">
        <f t="shared" si="35"/>
        <v/>
      </c>
      <c r="L296" s="128"/>
      <c r="M296" s="128" t="str">
        <f t="shared" si="36"/>
        <v/>
      </c>
      <c r="N296" s="148"/>
      <c r="O296" s="128" t="str">
        <f t="shared" si="37"/>
        <v/>
      </c>
      <c r="P296" s="148"/>
      <c r="Q296" s="128" t="str">
        <f t="shared" si="38"/>
        <v/>
      </c>
      <c r="R296" s="148"/>
      <c r="S296" s="128" t="str">
        <f t="shared" si="39"/>
        <v/>
      </c>
      <c r="T296" s="47" t="str">
        <f t="shared" si="32"/>
        <v>OK!</v>
      </c>
    </row>
    <row r="297" spans="1:20" ht="16.5" x14ac:dyDescent="0.3">
      <c r="B297" s="149" t="s">
        <v>2779</v>
      </c>
      <c r="C297" s="150">
        <v>37.28</v>
      </c>
      <c r="D297" s="150">
        <v>26.64</v>
      </c>
      <c r="E297" s="150"/>
      <c r="F297" s="148"/>
      <c r="G297" s="128" t="str">
        <f t="shared" si="33"/>
        <v/>
      </c>
      <c r="H297" s="128" t="s">
        <v>2916</v>
      </c>
      <c r="I297" s="128">
        <f t="shared" si="34"/>
        <v>37.28</v>
      </c>
      <c r="J297" s="128"/>
      <c r="K297" s="128" t="str">
        <f t="shared" si="35"/>
        <v/>
      </c>
      <c r="L297" s="128"/>
      <c r="M297" s="128" t="str">
        <f t="shared" si="36"/>
        <v/>
      </c>
      <c r="N297" s="148"/>
      <c r="O297" s="128" t="str">
        <f t="shared" si="37"/>
        <v/>
      </c>
      <c r="P297" s="148"/>
      <c r="Q297" s="128" t="str">
        <f t="shared" si="38"/>
        <v/>
      </c>
      <c r="R297" s="148"/>
      <c r="S297" s="128" t="str">
        <f t="shared" si="39"/>
        <v/>
      </c>
      <c r="T297" s="47" t="str">
        <f t="shared" si="32"/>
        <v>OK!</v>
      </c>
    </row>
    <row r="298" spans="1:20" ht="16.5" x14ac:dyDescent="0.3">
      <c r="B298" s="149" t="s">
        <v>2738</v>
      </c>
      <c r="C298" s="150">
        <v>21.63</v>
      </c>
      <c r="D298" s="150">
        <v>19.25</v>
      </c>
      <c r="E298" s="150"/>
      <c r="F298" s="148" t="s">
        <v>2916</v>
      </c>
      <c r="G298" s="128">
        <f t="shared" si="33"/>
        <v>21.63</v>
      </c>
      <c r="H298" s="128"/>
      <c r="I298" s="128" t="str">
        <f t="shared" si="34"/>
        <v/>
      </c>
      <c r="J298" s="128"/>
      <c r="K298" s="128" t="str">
        <f t="shared" si="35"/>
        <v/>
      </c>
      <c r="L298" s="128"/>
      <c r="M298" s="128" t="str">
        <f t="shared" si="36"/>
        <v/>
      </c>
      <c r="N298" s="148"/>
      <c r="O298" s="128" t="str">
        <f t="shared" si="37"/>
        <v/>
      </c>
      <c r="P298" s="148"/>
      <c r="Q298" s="128" t="str">
        <f t="shared" si="38"/>
        <v/>
      </c>
      <c r="R298" s="148"/>
      <c r="S298" s="128" t="str">
        <f t="shared" si="39"/>
        <v/>
      </c>
      <c r="T298" s="47" t="str">
        <f t="shared" si="32"/>
        <v>OK!</v>
      </c>
    </row>
    <row r="299" spans="1:20" ht="16.5" x14ac:dyDescent="0.3">
      <c r="A299" s="130"/>
      <c r="B299" s="149" t="s">
        <v>2611</v>
      </c>
      <c r="C299" s="150">
        <v>4.74</v>
      </c>
      <c r="D299" s="150">
        <v>9.8000000000000007</v>
      </c>
      <c r="E299" s="150"/>
      <c r="F299" s="148" t="s">
        <v>2916</v>
      </c>
      <c r="G299" s="128">
        <f t="shared" si="33"/>
        <v>4.74</v>
      </c>
      <c r="H299" s="128"/>
      <c r="I299" s="128" t="str">
        <f t="shared" si="34"/>
        <v/>
      </c>
      <c r="J299" s="128"/>
      <c r="K299" s="128" t="str">
        <f t="shared" si="35"/>
        <v/>
      </c>
      <c r="L299" s="128"/>
      <c r="M299" s="128" t="str">
        <f t="shared" si="36"/>
        <v/>
      </c>
      <c r="N299" s="148"/>
      <c r="O299" s="128" t="str">
        <f t="shared" si="37"/>
        <v/>
      </c>
      <c r="P299" s="148"/>
      <c r="Q299" s="128" t="str">
        <f t="shared" si="38"/>
        <v/>
      </c>
      <c r="R299" s="148"/>
      <c r="S299" s="128" t="str">
        <f t="shared" si="39"/>
        <v/>
      </c>
      <c r="T299" s="47" t="str">
        <f t="shared" si="32"/>
        <v>OK!</v>
      </c>
    </row>
    <row r="300" spans="1:20" ht="16.5" x14ac:dyDescent="0.3">
      <c r="B300" s="149" t="s">
        <v>2739</v>
      </c>
      <c r="C300" s="128">
        <v>21.95</v>
      </c>
      <c r="D300" s="128">
        <v>20</v>
      </c>
      <c r="E300" s="128"/>
      <c r="F300" s="148" t="s">
        <v>2916</v>
      </c>
      <c r="G300" s="128">
        <f t="shared" si="33"/>
        <v>21.95</v>
      </c>
      <c r="H300" s="128"/>
      <c r="I300" s="128" t="str">
        <f t="shared" si="34"/>
        <v/>
      </c>
      <c r="J300" s="128"/>
      <c r="K300" s="128" t="str">
        <f t="shared" si="35"/>
        <v/>
      </c>
      <c r="L300" s="128"/>
      <c r="M300" s="128" t="str">
        <f t="shared" si="36"/>
        <v/>
      </c>
      <c r="N300" s="148"/>
      <c r="O300" s="128" t="str">
        <f t="shared" si="37"/>
        <v/>
      </c>
      <c r="P300" s="148"/>
      <c r="Q300" s="128" t="str">
        <f t="shared" si="38"/>
        <v/>
      </c>
      <c r="R300" s="148"/>
      <c r="S300" s="128" t="str">
        <f t="shared" si="39"/>
        <v/>
      </c>
      <c r="T300" s="47" t="str">
        <f t="shared" si="32"/>
        <v>OK!</v>
      </c>
    </row>
    <row r="301" spans="1:20" ht="16.5" x14ac:dyDescent="0.3">
      <c r="B301" s="129" t="s">
        <v>2611</v>
      </c>
      <c r="C301" s="128">
        <v>4.29</v>
      </c>
      <c r="D301" s="128">
        <v>9.5500000000000007</v>
      </c>
      <c r="E301" s="128"/>
      <c r="F301" s="148" t="s">
        <v>2916</v>
      </c>
      <c r="G301" s="128">
        <f t="shared" si="33"/>
        <v>4.29</v>
      </c>
      <c r="H301" s="128"/>
      <c r="I301" s="128" t="str">
        <f t="shared" si="34"/>
        <v/>
      </c>
      <c r="J301" s="128"/>
      <c r="K301" s="128" t="str">
        <f t="shared" si="35"/>
        <v/>
      </c>
      <c r="L301" s="128"/>
      <c r="M301" s="128" t="str">
        <f t="shared" si="36"/>
        <v/>
      </c>
      <c r="N301" s="148"/>
      <c r="O301" s="128" t="str">
        <f t="shared" si="37"/>
        <v/>
      </c>
      <c r="P301" s="148"/>
      <c r="Q301" s="128" t="str">
        <f t="shared" si="38"/>
        <v/>
      </c>
      <c r="R301" s="148"/>
      <c r="S301" s="128" t="str">
        <f t="shared" si="39"/>
        <v/>
      </c>
      <c r="T301" s="47" t="str">
        <f t="shared" si="32"/>
        <v>OK!</v>
      </c>
    </row>
    <row r="302" spans="1:20" ht="16.5" x14ac:dyDescent="0.3">
      <c r="B302" s="129" t="s">
        <v>2780</v>
      </c>
      <c r="C302" s="128">
        <v>38.44</v>
      </c>
      <c r="D302" s="128">
        <v>26.2</v>
      </c>
      <c r="E302" s="128"/>
      <c r="F302" s="148" t="s">
        <v>2916</v>
      </c>
      <c r="G302" s="128">
        <f t="shared" si="33"/>
        <v>38.44</v>
      </c>
      <c r="H302" s="128"/>
      <c r="I302" s="128" t="str">
        <f t="shared" si="34"/>
        <v/>
      </c>
      <c r="J302" s="128"/>
      <c r="K302" s="128" t="str">
        <f t="shared" si="35"/>
        <v/>
      </c>
      <c r="L302" s="128"/>
      <c r="M302" s="128" t="str">
        <f t="shared" si="36"/>
        <v/>
      </c>
      <c r="N302" s="148"/>
      <c r="O302" s="128" t="str">
        <f t="shared" si="37"/>
        <v/>
      </c>
      <c r="P302" s="148"/>
      <c r="Q302" s="128" t="str">
        <f t="shared" si="38"/>
        <v/>
      </c>
      <c r="R302" s="148"/>
      <c r="S302" s="128" t="str">
        <f t="shared" si="39"/>
        <v/>
      </c>
      <c r="T302" s="47" t="str">
        <f t="shared" si="32"/>
        <v>OK!</v>
      </c>
    </row>
    <row r="303" spans="1:20" ht="16.5" x14ac:dyDescent="0.3">
      <c r="B303" s="129" t="s">
        <v>2781</v>
      </c>
      <c r="C303" s="128">
        <v>22.27</v>
      </c>
      <c r="D303" s="128">
        <v>20.55</v>
      </c>
      <c r="E303" s="128"/>
      <c r="F303" s="148" t="s">
        <v>2916</v>
      </c>
      <c r="G303" s="128">
        <f t="shared" si="33"/>
        <v>22.27</v>
      </c>
      <c r="H303" s="128"/>
      <c r="I303" s="128" t="str">
        <f t="shared" si="34"/>
        <v/>
      </c>
      <c r="J303" s="128"/>
      <c r="K303" s="128" t="str">
        <f t="shared" si="35"/>
        <v/>
      </c>
      <c r="L303" s="128"/>
      <c r="M303" s="128" t="str">
        <f t="shared" si="36"/>
        <v/>
      </c>
      <c r="N303" s="148"/>
      <c r="O303" s="128" t="str">
        <f t="shared" si="37"/>
        <v/>
      </c>
      <c r="P303" s="148"/>
      <c r="Q303" s="128" t="str">
        <f t="shared" si="38"/>
        <v/>
      </c>
      <c r="R303" s="148"/>
      <c r="S303" s="128" t="str">
        <f t="shared" si="39"/>
        <v/>
      </c>
      <c r="T303" s="47" t="str">
        <f t="shared" si="32"/>
        <v>OK!</v>
      </c>
    </row>
    <row r="304" spans="1:20" ht="16.5" x14ac:dyDescent="0.3">
      <c r="B304" s="129" t="s">
        <v>2594</v>
      </c>
      <c r="C304" s="128">
        <v>68.17</v>
      </c>
      <c r="D304" s="128">
        <v>65.17</v>
      </c>
      <c r="E304" s="128">
        <v>2.2000000000000002</v>
      </c>
      <c r="F304" s="148" t="s">
        <v>2916</v>
      </c>
      <c r="G304" s="128">
        <f t="shared" si="33"/>
        <v>68.17</v>
      </c>
      <c r="H304" s="128"/>
      <c r="I304" s="128" t="str">
        <f>IF(H304="x",$C304,"")</f>
        <v/>
      </c>
      <c r="J304" s="128"/>
      <c r="K304" s="128" t="str">
        <f t="shared" si="35"/>
        <v/>
      </c>
      <c r="L304" s="128"/>
      <c r="M304" s="128" t="str">
        <f t="shared" si="36"/>
        <v/>
      </c>
      <c r="N304" s="148"/>
      <c r="O304" s="128" t="str">
        <f t="shared" si="37"/>
        <v/>
      </c>
      <c r="P304" s="148"/>
      <c r="Q304" s="128" t="str">
        <f t="shared" si="38"/>
        <v/>
      </c>
      <c r="R304" s="148"/>
      <c r="S304" s="128" t="str">
        <f t="shared" si="39"/>
        <v/>
      </c>
      <c r="T304" s="47" t="str">
        <f t="shared" si="32"/>
        <v>OK!</v>
      </c>
    </row>
    <row r="305" spans="2:20" ht="16.5" x14ac:dyDescent="0.3">
      <c r="B305" s="136" t="s">
        <v>2782</v>
      </c>
      <c r="C305" s="128"/>
      <c r="D305" s="128"/>
      <c r="E305" s="128"/>
      <c r="F305" s="148"/>
      <c r="G305" s="128"/>
      <c r="H305" s="128"/>
      <c r="I305" s="128" t="str">
        <f t="shared" si="34"/>
        <v/>
      </c>
      <c r="J305" s="128"/>
      <c r="K305" s="128" t="str">
        <f t="shared" si="35"/>
        <v/>
      </c>
      <c r="L305" s="128"/>
      <c r="M305" s="128" t="str">
        <f t="shared" si="36"/>
        <v/>
      </c>
      <c r="N305" s="148"/>
      <c r="O305" s="128" t="str">
        <f t="shared" si="37"/>
        <v/>
      </c>
      <c r="P305" s="148"/>
      <c r="Q305" s="128" t="str">
        <f t="shared" si="38"/>
        <v/>
      </c>
      <c r="R305" s="148"/>
      <c r="S305" s="128" t="str">
        <f t="shared" si="39"/>
        <v/>
      </c>
      <c r="T305" s="47" t="str">
        <f t="shared" si="32"/>
        <v>OK!</v>
      </c>
    </row>
    <row r="306" spans="2:20" ht="16.5" x14ac:dyDescent="0.3">
      <c r="B306" s="129" t="s">
        <v>2596</v>
      </c>
      <c r="C306" s="128">
        <v>1.96</v>
      </c>
      <c r="D306" s="128">
        <v>5.66</v>
      </c>
      <c r="E306" s="128"/>
      <c r="F306" s="148" t="s">
        <v>2916</v>
      </c>
      <c r="G306" s="128">
        <f t="shared" si="33"/>
        <v>1.96</v>
      </c>
      <c r="H306" s="128"/>
      <c r="I306" s="128" t="str">
        <f t="shared" si="34"/>
        <v/>
      </c>
      <c r="J306" s="128"/>
      <c r="K306" s="128" t="str">
        <f t="shared" si="35"/>
        <v/>
      </c>
      <c r="L306" s="128"/>
      <c r="M306" s="128" t="str">
        <f t="shared" si="36"/>
        <v/>
      </c>
      <c r="N306" s="148"/>
      <c r="O306" s="128" t="str">
        <f t="shared" si="37"/>
        <v/>
      </c>
      <c r="P306" s="148"/>
      <c r="Q306" s="128" t="str">
        <f t="shared" si="38"/>
        <v/>
      </c>
      <c r="R306" s="148"/>
      <c r="S306" s="128" t="str">
        <f t="shared" si="39"/>
        <v/>
      </c>
      <c r="T306" s="47" t="str">
        <f t="shared" si="32"/>
        <v>OK!</v>
      </c>
    </row>
    <row r="307" spans="2:20" ht="16.5" x14ac:dyDescent="0.3">
      <c r="B307" s="129" t="s">
        <v>2597</v>
      </c>
      <c r="C307" s="128">
        <v>1.96</v>
      </c>
      <c r="D307" s="128">
        <v>5.66</v>
      </c>
      <c r="E307" s="128"/>
      <c r="F307" s="148" t="s">
        <v>2916</v>
      </c>
      <c r="G307" s="128">
        <f t="shared" si="33"/>
        <v>1.96</v>
      </c>
      <c r="H307" s="128"/>
      <c r="I307" s="128" t="str">
        <f t="shared" si="34"/>
        <v/>
      </c>
      <c r="J307" s="128"/>
      <c r="K307" s="128" t="str">
        <f t="shared" si="35"/>
        <v/>
      </c>
      <c r="L307" s="128"/>
      <c r="M307" s="128" t="str">
        <f t="shared" si="36"/>
        <v/>
      </c>
      <c r="N307" s="148"/>
      <c r="O307" s="128" t="str">
        <f t="shared" si="37"/>
        <v/>
      </c>
      <c r="P307" s="148"/>
      <c r="Q307" s="128" t="str">
        <f t="shared" si="38"/>
        <v/>
      </c>
      <c r="R307" s="148"/>
      <c r="S307" s="128" t="str">
        <f t="shared" si="39"/>
        <v/>
      </c>
      <c r="T307" s="47" t="str">
        <f t="shared" si="32"/>
        <v>OK!</v>
      </c>
    </row>
    <row r="308" spans="2:20" ht="16.5" x14ac:dyDescent="0.3">
      <c r="B308" s="129" t="s">
        <v>2611</v>
      </c>
      <c r="C308" s="128">
        <v>3.06</v>
      </c>
      <c r="D308" s="128">
        <v>7.5</v>
      </c>
      <c r="E308" s="128"/>
      <c r="F308" s="148" t="s">
        <v>2916</v>
      </c>
      <c r="G308" s="128">
        <f t="shared" si="33"/>
        <v>3.06</v>
      </c>
      <c r="H308" s="128"/>
      <c r="I308" s="128" t="str">
        <f t="shared" si="34"/>
        <v/>
      </c>
      <c r="J308" s="128"/>
      <c r="K308" s="128" t="str">
        <f t="shared" si="35"/>
        <v/>
      </c>
      <c r="L308" s="128"/>
      <c r="M308" s="128" t="str">
        <f t="shared" si="36"/>
        <v/>
      </c>
      <c r="N308" s="148"/>
      <c r="O308" s="128" t="str">
        <f t="shared" si="37"/>
        <v/>
      </c>
      <c r="P308" s="148"/>
      <c r="Q308" s="128" t="str">
        <f t="shared" si="38"/>
        <v/>
      </c>
      <c r="R308" s="148"/>
      <c r="S308" s="128" t="str">
        <f t="shared" si="39"/>
        <v/>
      </c>
      <c r="T308" s="47" t="str">
        <f t="shared" si="32"/>
        <v>OK!</v>
      </c>
    </row>
    <row r="309" spans="2:20" ht="16.5" x14ac:dyDescent="0.3">
      <c r="B309" s="129" t="s">
        <v>2783</v>
      </c>
      <c r="C309" s="128">
        <v>8.7899999999999991</v>
      </c>
      <c r="D309" s="128">
        <v>11.86</v>
      </c>
      <c r="E309" s="128"/>
      <c r="F309" s="148" t="s">
        <v>2916</v>
      </c>
      <c r="G309" s="128">
        <f t="shared" si="33"/>
        <v>8.7899999999999991</v>
      </c>
      <c r="H309" s="128"/>
      <c r="I309" s="128" t="str">
        <f t="shared" si="34"/>
        <v/>
      </c>
      <c r="J309" s="128"/>
      <c r="K309" s="128" t="str">
        <f t="shared" si="35"/>
        <v/>
      </c>
      <c r="L309" s="128"/>
      <c r="M309" s="128" t="str">
        <f t="shared" si="36"/>
        <v/>
      </c>
      <c r="N309" s="148"/>
      <c r="O309" s="128" t="str">
        <f t="shared" si="37"/>
        <v/>
      </c>
      <c r="P309" s="148"/>
      <c r="Q309" s="128" t="str">
        <f t="shared" si="38"/>
        <v/>
      </c>
      <c r="R309" s="148"/>
      <c r="S309" s="128" t="str">
        <f t="shared" si="39"/>
        <v/>
      </c>
      <c r="T309" s="47" t="str">
        <f t="shared" si="32"/>
        <v>OK!</v>
      </c>
    </row>
    <row r="310" spans="2:20" ht="16.5" x14ac:dyDescent="0.3">
      <c r="B310" s="129" t="s">
        <v>2591</v>
      </c>
      <c r="C310" s="128">
        <v>4.47</v>
      </c>
      <c r="D310" s="128">
        <v>8.9600000000000009</v>
      </c>
      <c r="E310" s="128"/>
      <c r="F310" s="148" t="s">
        <v>2916</v>
      </c>
      <c r="G310" s="128">
        <f t="shared" si="33"/>
        <v>4.47</v>
      </c>
      <c r="H310" s="128"/>
      <c r="I310" s="128" t="str">
        <f t="shared" si="34"/>
        <v/>
      </c>
      <c r="J310" s="128"/>
      <c r="K310" s="128" t="str">
        <f t="shared" si="35"/>
        <v/>
      </c>
      <c r="L310" s="128"/>
      <c r="M310" s="128" t="str">
        <f t="shared" si="36"/>
        <v/>
      </c>
      <c r="N310" s="148"/>
      <c r="O310" s="128" t="str">
        <f t="shared" si="37"/>
        <v/>
      </c>
      <c r="P310" s="148"/>
      <c r="Q310" s="128" t="str">
        <f t="shared" si="38"/>
        <v/>
      </c>
      <c r="R310" s="148"/>
      <c r="S310" s="128" t="str">
        <f t="shared" si="39"/>
        <v/>
      </c>
      <c r="T310" s="47" t="str">
        <f t="shared" si="32"/>
        <v>OK!</v>
      </c>
    </row>
    <row r="311" spans="2:20" ht="16.5" x14ac:dyDescent="0.3">
      <c r="B311" s="149" t="s">
        <v>2739</v>
      </c>
      <c r="C311" s="128">
        <v>7.93</v>
      </c>
      <c r="D311" s="128">
        <v>12.1</v>
      </c>
      <c r="E311" s="128"/>
      <c r="F311" s="148" t="s">
        <v>2916</v>
      </c>
      <c r="G311" s="128">
        <f t="shared" si="33"/>
        <v>7.93</v>
      </c>
      <c r="H311" s="128"/>
      <c r="I311" s="128" t="str">
        <f t="shared" si="34"/>
        <v/>
      </c>
      <c r="J311" s="128"/>
      <c r="K311" s="128" t="str">
        <f t="shared" si="35"/>
        <v/>
      </c>
      <c r="L311" s="128"/>
      <c r="M311" s="128" t="str">
        <f t="shared" si="36"/>
        <v/>
      </c>
      <c r="N311" s="148"/>
      <c r="O311" s="128" t="str">
        <f t="shared" si="37"/>
        <v/>
      </c>
      <c r="P311" s="148"/>
      <c r="Q311" s="128" t="str">
        <f t="shared" si="38"/>
        <v/>
      </c>
      <c r="R311" s="148"/>
      <c r="S311" s="128" t="str">
        <f t="shared" si="39"/>
        <v/>
      </c>
      <c r="T311" s="47" t="str">
        <f t="shared" si="32"/>
        <v>OK!</v>
      </c>
    </row>
    <row r="312" spans="2:20" ht="16.5" x14ac:dyDescent="0.3">
      <c r="B312" s="149" t="s">
        <v>2611</v>
      </c>
      <c r="C312" s="128">
        <v>2.76</v>
      </c>
      <c r="D312" s="128">
        <v>7</v>
      </c>
      <c r="E312" s="128"/>
      <c r="F312" s="148" t="s">
        <v>2916</v>
      </c>
      <c r="G312" s="128">
        <f t="shared" si="33"/>
        <v>2.76</v>
      </c>
      <c r="H312" s="128"/>
      <c r="I312" s="128" t="str">
        <f t="shared" si="34"/>
        <v/>
      </c>
      <c r="J312" s="128"/>
      <c r="K312" s="128" t="str">
        <f t="shared" si="35"/>
        <v/>
      </c>
      <c r="L312" s="128"/>
      <c r="M312" s="128" t="str">
        <f t="shared" si="36"/>
        <v/>
      </c>
      <c r="N312" s="148"/>
      <c r="O312" s="128" t="str">
        <f t="shared" si="37"/>
        <v/>
      </c>
      <c r="P312" s="148"/>
      <c r="Q312" s="128" t="str">
        <f t="shared" si="38"/>
        <v/>
      </c>
      <c r="R312" s="148"/>
      <c r="S312" s="128" t="str">
        <f t="shared" si="39"/>
        <v/>
      </c>
      <c r="T312" s="47" t="str">
        <f t="shared" si="32"/>
        <v>OK!</v>
      </c>
    </row>
    <row r="313" spans="2:20" ht="16.5" x14ac:dyDescent="0.3">
      <c r="B313" s="149" t="s">
        <v>2738</v>
      </c>
      <c r="C313" s="128">
        <v>8.2799999999999994</v>
      </c>
      <c r="D313" s="128">
        <v>11.8</v>
      </c>
      <c r="E313" s="128"/>
      <c r="F313" s="148" t="s">
        <v>2916</v>
      </c>
      <c r="G313" s="128">
        <f t="shared" si="33"/>
        <v>8.2799999999999994</v>
      </c>
      <c r="H313" s="128"/>
      <c r="I313" s="128" t="str">
        <f t="shared" si="34"/>
        <v/>
      </c>
      <c r="J313" s="128"/>
      <c r="K313" s="128" t="str">
        <f t="shared" si="35"/>
        <v/>
      </c>
      <c r="L313" s="128"/>
      <c r="M313" s="128" t="str">
        <f t="shared" si="36"/>
        <v/>
      </c>
      <c r="N313" s="148"/>
      <c r="O313" s="128" t="str">
        <f t="shared" si="37"/>
        <v/>
      </c>
      <c r="P313" s="148"/>
      <c r="Q313" s="128" t="str">
        <f t="shared" si="38"/>
        <v/>
      </c>
      <c r="R313" s="148"/>
      <c r="S313" s="128" t="str">
        <f t="shared" si="39"/>
        <v/>
      </c>
      <c r="T313" s="47" t="str">
        <f t="shared" si="32"/>
        <v>OK!</v>
      </c>
    </row>
    <row r="314" spans="2:20" ht="16.5" x14ac:dyDescent="0.3">
      <c r="B314" s="129" t="s">
        <v>2611</v>
      </c>
      <c r="C314" s="128">
        <v>5.5</v>
      </c>
      <c r="D314" s="128">
        <v>12.2</v>
      </c>
      <c r="E314" s="128">
        <v>1.1000000000000001</v>
      </c>
      <c r="F314" s="148" t="s">
        <v>2916</v>
      </c>
      <c r="G314" s="128">
        <f t="shared" si="33"/>
        <v>5.5</v>
      </c>
      <c r="H314" s="128"/>
      <c r="I314" s="128" t="str">
        <f t="shared" si="34"/>
        <v/>
      </c>
      <c r="J314" s="128"/>
      <c r="K314" s="128" t="str">
        <f t="shared" si="35"/>
        <v/>
      </c>
      <c r="L314" s="128"/>
      <c r="M314" s="128" t="str">
        <f t="shared" si="36"/>
        <v/>
      </c>
      <c r="N314" s="148"/>
      <c r="O314" s="128" t="str">
        <f t="shared" si="37"/>
        <v/>
      </c>
      <c r="P314" s="148"/>
      <c r="Q314" s="128" t="str">
        <f t="shared" si="38"/>
        <v/>
      </c>
      <c r="R314" s="148"/>
      <c r="S314" s="128" t="str">
        <f t="shared" si="39"/>
        <v/>
      </c>
      <c r="T314" s="47" t="str">
        <f t="shared" si="32"/>
        <v>OK!</v>
      </c>
    </row>
    <row r="315" spans="2:20" ht="16.5" x14ac:dyDescent="0.3">
      <c r="B315" s="129" t="s">
        <v>2607</v>
      </c>
      <c r="C315" s="128">
        <v>8.39</v>
      </c>
      <c r="D315" s="128">
        <v>13</v>
      </c>
      <c r="E315" s="128"/>
      <c r="F315" s="148" t="s">
        <v>2916</v>
      </c>
      <c r="G315" s="128">
        <f t="shared" si="33"/>
        <v>8.39</v>
      </c>
      <c r="H315" s="128"/>
      <c r="I315" s="128" t="str">
        <f t="shared" si="34"/>
        <v/>
      </c>
      <c r="J315" s="128"/>
      <c r="K315" s="128" t="str">
        <f t="shared" si="35"/>
        <v/>
      </c>
      <c r="L315" s="128"/>
      <c r="M315" s="128" t="str">
        <f t="shared" si="36"/>
        <v/>
      </c>
      <c r="N315" s="148"/>
      <c r="O315" s="128" t="str">
        <f t="shared" si="37"/>
        <v/>
      </c>
      <c r="P315" s="148"/>
      <c r="Q315" s="128" t="str">
        <f t="shared" si="38"/>
        <v/>
      </c>
      <c r="R315" s="148"/>
      <c r="S315" s="128" t="str">
        <f t="shared" si="39"/>
        <v/>
      </c>
      <c r="T315" s="47" t="str">
        <f t="shared" si="32"/>
        <v>OK!</v>
      </c>
    </row>
    <row r="316" spans="2:20" ht="16.5" x14ac:dyDescent="0.3">
      <c r="B316" s="129" t="s">
        <v>2595</v>
      </c>
      <c r="C316" s="128">
        <v>8.56</v>
      </c>
      <c r="D316" s="128">
        <v>12.04</v>
      </c>
      <c r="E316" s="128"/>
      <c r="F316" s="148" t="s">
        <v>2916</v>
      </c>
      <c r="G316" s="128">
        <f t="shared" si="33"/>
        <v>8.56</v>
      </c>
      <c r="H316" s="128"/>
      <c r="I316" s="128" t="str">
        <f t="shared" si="34"/>
        <v/>
      </c>
      <c r="J316" s="128"/>
      <c r="K316" s="128" t="str">
        <f t="shared" si="35"/>
        <v/>
      </c>
      <c r="L316" s="128"/>
      <c r="M316" s="128" t="str">
        <f t="shared" si="36"/>
        <v/>
      </c>
      <c r="N316" s="148"/>
      <c r="O316" s="128" t="str">
        <f t="shared" si="37"/>
        <v/>
      </c>
      <c r="P316" s="148"/>
      <c r="Q316" s="128" t="str">
        <f t="shared" si="38"/>
        <v/>
      </c>
      <c r="R316" s="148"/>
      <c r="S316" s="128" t="str">
        <f t="shared" si="39"/>
        <v/>
      </c>
      <c r="T316" s="47" t="str">
        <f t="shared" si="32"/>
        <v>OK!</v>
      </c>
    </row>
    <row r="317" spans="2:20" ht="16.5" x14ac:dyDescent="0.3">
      <c r="B317" s="129" t="s">
        <v>2784</v>
      </c>
      <c r="C317" s="128">
        <v>7.89</v>
      </c>
      <c r="D317" s="128">
        <v>11.46</v>
      </c>
      <c r="E317" s="128"/>
      <c r="F317" s="148" t="s">
        <v>2916</v>
      </c>
      <c r="G317" s="128">
        <f t="shared" si="33"/>
        <v>7.89</v>
      </c>
      <c r="H317" s="128"/>
      <c r="I317" s="128" t="str">
        <f t="shared" si="34"/>
        <v/>
      </c>
      <c r="J317" s="128"/>
      <c r="K317" s="128" t="str">
        <f t="shared" si="35"/>
        <v/>
      </c>
      <c r="L317" s="128"/>
      <c r="M317" s="128" t="str">
        <f t="shared" si="36"/>
        <v/>
      </c>
      <c r="N317" s="148"/>
      <c r="O317" s="128" t="str">
        <f t="shared" si="37"/>
        <v/>
      </c>
      <c r="P317" s="148"/>
      <c r="Q317" s="128" t="str">
        <f t="shared" si="38"/>
        <v/>
      </c>
      <c r="R317" s="148"/>
      <c r="S317" s="128" t="str">
        <f t="shared" si="39"/>
        <v/>
      </c>
      <c r="T317" s="47" t="str">
        <f t="shared" si="32"/>
        <v>OK!</v>
      </c>
    </row>
    <row r="318" spans="2:20" ht="16.5" x14ac:dyDescent="0.3">
      <c r="B318" s="129" t="s">
        <v>2611</v>
      </c>
      <c r="C318" s="128">
        <v>5.51</v>
      </c>
      <c r="D318" s="128">
        <v>10.45</v>
      </c>
      <c r="E318" s="128"/>
      <c r="F318" s="148" t="s">
        <v>2916</v>
      </c>
      <c r="G318" s="128">
        <f t="shared" si="33"/>
        <v>5.51</v>
      </c>
      <c r="H318" s="128"/>
      <c r="I318" s="128" t="str">
        <f t="shared" si="34"/>
        <v/>
      </c>
      <c r="J318" s="128"/>
      <c r="K318" s="128" t="str">
        <f t="shared" si="35"/>
        <v/>
      </c>
      <c r="L318" s="128"/>
      <c r="M318" s="128" t="str">
        <f t="shared" si="36"/>
        <v/>
      </c>
      <c r="N318" s="148"/>
      <c r="O318" s="128" t="str">
        <f t="shared" si="37"/>
        <v/>
      </c>
      <c r="P318" s="148"/>
      <c r="Q318" s="128" t="str">
        <f t="shared" si="38"/>
        <v/>
      </c>
      <c r="R318" s="148"/>
      <c r="S318" s="128" t="str">
        <f t="shared" si="39"/>
        <v/>
      </c>
      <c r="T318" s="47" t="str">
        <f t="shared" si="32"/>
        <v>OK!</v>
      </c>
    </row>
    <row r="319" spans="2:20" ht="16.5" x14ac:dyDescent="0.3">
      <c r="B319" s="129" t="s">
        <v>2591</v>
      </c>
      <c r="C319" s="128">
        <v>2.62</v>
      </c>
      <c r="D319" s="128">
        <v>6.53</v>
      </c>
      <c r="E319" s="128"/>
      <c r="F319" s="148" t="s">
        <v>2916</v>
      </c>
      <c r="G319" s="128">
        <f t="shared" si="33"/>
        <v>2.62</v>
      </c>
      <c r="H319" s="128"/>
      <c r="I319" s="128" t="str">
        <f t="shared" si="34"/>
        <v/>
      </c>
      <c r="J319" s="128"/>
      <c r="K319" s="128" t="str">
        <f t="shared" si="35"/>
        <v/>
      </c>
      <c r="L319" s="128"/>
      <c r="M319" s="128" t="str">
        <f t="shared" si="36"/>
        <v/>
      </c>
      <c r="N319" s="148"/>
      <c r="O319" s="128" t="str">
        <f t="shared" si="37"/>
        <v/>
      </c>
      <c r="P319" s="148"/>
      <c r="Q319" s="128" t="str">
        <f t="shared" si="38"/>
        <v/>
      </c>
      <c r="R319" s="148"/>
      <c r="S319" s="128" t="str">
        <f t="shared" si="39"/>
        <v/>
      </c>
      <c r="T319" s="47" t="str">
        <f t="shared" si="32"/>
        <v>OK!</v>
      </c>
    </row>
    <row r="320" spans="2:20" ht="16.5" x14ac:dyDescent="0.3">
      <c r="B320" s="129" t="s">
        <v>2785</v>
      </c>
      <c r="C320" s="128">
        <v>3.23</v>
      </c>
      <c r="D320" s="128">
        <v>7.19</v>
      </c>
      <c r="E320" s="128"/>
      <c r="F320" s="148" t="s">
        <v>2916</v>
      </c>
      <c r="G320" s="128">
        <f t="shared" si="33"/>
        <v>3.23</v>
      </c>
      <c r="H320" s="128"/>
      <c r="I320" s="128" t="str">
        <f t="shared" si="34"/>
        <v/>
      </c>
      <c r="J320" s="128"/>
      <c r="K320" s="128" t="str">
        <f t="shared" si="35"/>
        <v/>
      </c>
      <c r="L320" s="128"/>
      <c r="M320" s="128" t="str">
        <f t="shared" si="36"/>
        <v/>
      </c>
      <c r="N320" s="148"/>
      <c r="O320" s="128" t="str">
        <f t="shared" si="37"/>
        <v/>
      </c>
      <c r="P320" s="148"/>
      <c r="Q320" s="128" t="str">
        <f t="shared" si="38"/>
        <v/>
      </c>
      <c r="R320" s="148"/>
      <c r="S320" s="128" t="str">
        <f t="shared" si="39"/>
        <v/>
      </c>
      <c r="T320" s="47" t="str">
        <f t="shared" si="32"/>
        <v>OK!</v>
      </c>
    </row>
    <row r="321" spans="2:20" ht="16.5" x14ac:dyDescent="0.3">
      <c r="B321" s="129" t="s">
        <v>2786</v>
      </c>
      <c r="C321" s="128">
        <f>29.81-0.2</f>
        <v>29.61</v>
      </c>
      <c r="D321" s="128">
        <v>24.51</v>
      </c>
      <c r="E321" s="128"/>
      <c r="F321" s="148" t="s">
        <v>2916</v>
      </c>
      <c r="G321" s="128">
        <f t="shared" si="33"/>
        <v>29.61</v>
      </c>
      <c r="H321" s="128"/>
      <c r="I321" s="128" t="str">
        <f t="shared" si="34"/>
        <v/>
      </c>
      <c r="J321" s="128"/>
      <c r="K321" s="128" t="str">
        <f t="shared" si="35"/>
        <v/>
      </c>
      <c r="L321" s="128"/>
      <c r="M321" s="128" t="str">
        <f t="shared" si="36"/>
        <v/>
      </c>
      <c r="N321" s="148"/>
      <c r="O321" s="128" t="str">
        <f t="shared" si="37"/>
        <v/>
      </c>
      <c r="P321" s="148"/>
      <c r="Q321" s="128" t="str">
        <f t="shared" si="38"/>
        <v/>
      </c>
      <c r="R321" s="148"/>
      <c r="S321" s="128" t="str">
        <f t="shared" si="39"/>
        <v/>
      </c>
      <c r="T321" s="47" t="str">
        <f t="shared" si="32"/>
        <v>OK!</v>
      </c>
    </row>
    <row r="322" spans="2:20" ht="16.5" x14ac:dyDescent="0.3">
      <c r="B322" s="129" t="s">
        <v>2787</v>
      </c>
      <c r="C322" s="128">
        <v>72.209999999999994</v>
      </c>
      <c r="D322" s="128">
        <v>35.21</v>
      </c>
      <c r="E322" s="128"/>
      <c r="F322" s="148" t="s">
        <v>2916</v>
      </c>
      <c r="G322" s="128">
        <f t="shared" si="33"/>
        <v>72.209999999999994</v>
      </c>
      <c r="H322" s="128"/>
      <c r="I322" s="128" t="str">
        <f t="shared" si="34"/>
        <v/>
      </c>
      <c r="J322" s="128"/>
      <c r="K322" s="128" t="str">
        <f t="shared" si="35"/>
        <v/>
      </c>
      <c r="L322" s="128"/>
      <c r="M322" s="128" t="str">
        <f t="shared" si="36"/>
        <v/>
      </c>
      <c r="N322" s="148"/>
      <c r="O322" s="128" t="str">
        <f t="shared" si="37"/>
        <v/>
      </c>
      <c r="P322" s="148"/>
      <c r="Q322" s="128" t="str">
        <f t="shared" si="38"/>
        <v/>
      </c>
      <c r="R322" s="148"/>
      <c r="S322" s="128" t="str">
        <f t="shared" si="39"/>
        <v/>
      </c>
      <c r="T322" s="47" t="str">
        <f t="shared" si="32"/>
        <v>OK!</v>
      </c>
    </row>
    <row r="323" spans="2:20" ht="16.5" x14ac:dyDescent="0.3">
      <c r="B323" s="129" t="s">
        <v>2788</v>
      </c>
      <c r="C323" s="128">
        <v>6.9</v>
      </c>
      <c r="D323" s="128">
        <v>10.9</v>
      </c>
      <c r="E323" s="128"/>
      <c r="F323" s="148" t="s">
        <v>2916</v>
      </c>
      <c r="G323" s="128">
        <f t="shared" si="33"/>
        <v>6.9</v>
      </c>
      <c r="H323" s="128"/>
      <c r="I323" s="128" t="str">
        <f t="shared" si="34"/>
        <v/>
      </c>
      <c r="J323" s="128"/>
      <c r="K323" s="128" t="str">
        <f t="shared" si="35"/>
        <v/>
      </c>
      <c r="L323" s="128"/>
      <c r="M323" s="128" t="str">
        <f t="shared" si="36"/>
        <v/>
      </c>
      <c r="N323" s="148"/>
      <c r="O323" s="128" t="str">
        <f t="shared" si="37"/>
        <v/>
      </c>
      <c r="P323" s="148"/>
      <c r="Q323" s="128" t="str">
        <f t="shared" si="38"/>
        <v/>
      </c>
      <c r="R323" s="148"/>
      <c r="S323" s="128" t="str">
        <f t="shared" si="39"/>
        <v/>
      </c>
      <c r="T323" s="47" t="str">
        <f t="shared" si="32"/>
        <v>OK!</v>
      </c>
    </row>
    <row r="324" spans="2:20" ht="16.5" x14ac:dyDescent="0.3">
      <c r="B324" s="129" t="s">
        <v>2789</v>
      </c>
      <c r="C324" s="128">
        <v>60.28</v>
      </c>
      <c r="D324" s="128">
        <v>57.94</v>
      </c>
      <c r="E324" s="128"/>
      <c r="F324" s="148" t="s">
        <v>2916</v>
      </c>
      <c r="G324" s="128">
        <f t="shared" si="33"/>
        <v>60.28</v>
      </c>
      <c r="H324" s="128"/>
      <c r="I324" s="128" t="str">
        <f t="shared" si="34"/>
        <v/>
      </c>
      <c r="J324" s="128"/>
      <c r="K324" s="128" t="str">
        <f t="shared" si="35"/>
        <v/>
      </c>
      <c r="L324" s="128"/>
      <c r="M324" s="128" t="str">
        <f t="shared" si="36"/>
        <v/>
      </c>
      <c r="N324" s="148"/>
      <c r="O324" s="128" t="str">
        <f t="shared" si="37"/>
        <v/>
      </c>
      <c r="P324" s="148"/>
      <c r="Q324" s="128" t="str">
        <f t="shared" si="38"/>
        <v/>
      </c>
      <c r="R324" s="148"/>
      <c r="S324" s="128" t="str">
        <f t="shared" si="39"/>
        <v/>
      </c>
      <c r="T324" s="47" t="str">
        <f t="shared" si="32"/>
        <v>OK!</v>
      </c>
    </row>
    <row r="325" spans="2:20" ht="16.5" x14ac:dyDescent="0.3">
      <c r="B325" s="136" t="s">
        <v>2790</v>
      </c>
      <c r="C325" s="128"/>
      <c r="D325" s="128"/>
      <c r="E325" s="128"/>
      <c r="F325" s="148"/>
      <c r="G325" s="128"/>
      <c r="H325" s="128"/>
      <c r="I325" s="128" t="str">
        <f t="shared" si="34"/>
        <v/>
      </c>
      <c r="J325" s="128"/>
      <c r="K325" s="128" t="str">
        <f t="shared" si="35"/>
        <v/>
      </c>
      <c r="L325" s="128"/>
      <c r="M325" s="128" t="str">
        <f t="shared" si="36"/>
        <v/>
      </c>
      <c r="N325" s="148"/>
      <c r="O325" s="128" t="str">
        <f t="shared" si="37"/>
        <v/>
      </c>
      <c r="P325" s="148"/>
      <c r="Q325" s="128" t="str">
        <f t="shared" si="38"/>
        <v/>
      </c>
      <c r="R325" s="148"/>
      <c r="S325" s="128" t="str">
        <f t="shared" si="39"/>
        <v/>
      </c>
      <c r="T325" s="47" t="str">
        <f t="shared" ref="T325:T388" si="40">IF(COUNT(F325:S325)&gt;1,"Corrigir!","OK!")</f>
        <v>OK!</v>
      </c>
    </row>
    <row r="326" spans="2:20" ht="16.5" x14ac:dyDescent="0.3">
      <c r="B326" s="129" t="s">
        <v>2791</v>
      </c>
      <c r="C326" s="128">
        <v>36.22</v>
      </c>
      <c r="D326" s="128">
        <v>37.42</v>
      </c>
      <c r="E326" s="128"/>
      <c r="F326" s="148" t="s">
        <v>2916</v>
      </c>
      <c r="G326" s="128">
        <f t="shared" si="33"/>
        <v>36.22</v>
      </c>
      <c r="H326" s="128"/>
      <c r="I326" s="128" t="str">
        <f t="shared" si="34"/>
        <v/>
      </c>
      <c r="J326" s="128"/>
      <c r="K326" s="128" t="str">
        <f t="shared" si="35"/>
        <v/>
      </c>
      <c r="L326" s="128"/>
      <c r="M326" s="128" t="str">
        <f t="shared" si="36"/>
        <v/>
      </c>
      <c r="N326" s="148"/>
      <c r="O326" s="128" t="str">
        <f t="shared" si="37"/>
        <v/>
      </c>
      <c r="P326" s="148"/>
      <c r="Q326" s="128" t="str">
        <f t="shared" si="38"/>
        <v/>
      </c>
      <c r="R326" s="148"/>
      <c r="S326" s="128" t="str">
        <f t="shared" si="39"/>
        <v/>
      </c>
      <c r="T326" s="47" t="str">
        <f t="shared" si="40"/>
        <v>OK!</v>
      </c>
    </row>
    <row r="327" spans="2:20" ht="16.5" x14ac:dyDescent="0.3">
      <c r="B327" s="129" t="s">
        <v>2792</v>
      </c>
      <c r="C327" s="128">
        <v>15.27</v>
      </c>
      <c r="D327" s="128">
        <v>17.7</v>
      </c>
      <c r="E327" s="128"/>
      <c r="F327" s="148" t="s">
        <v>2916</v>
      </c>
      <c r="G327" s="128">
        <f t="shared" ref="G327:G389" si="41">IF(F327="x",$C327,"")</f>
        <v>15.27</v>
      </c>
      <c r="H327" s="128"/>
      <c r="I327" s="128" t="str">
        <f t="shared" ref="I327:I389" si="42">IF(H327="x",$C327,"")</f>
        <v/>
      </c>
      <c r="J327" s="128"/>
      <c r="K327" s="128" t="str">
        <f t="shared" ref="K327:K389" si="43">IF(J327="x",$C327,"")</f>
        <v/>
      </c>
      <c r="L327" s="128"/>
      <c r="M327" s="128" t="str">
        <f t="shared" ref="M327:M389" si="44">IF(L327="x",$C327,"")</f>
        <v/>
      </c>
      <c r="N327" s="148"/>
      <c r="O327" s="128" t="str">
        <f t="shared" ref="O327:O389" si="45">IF(N327="x",$C327,"")</f>
        <v/>
      </c>
      <c r="P327" s="148"/>
      <c r="Q327" s="128" t="str">
        <f t="shared" ref="Q327:Q389" si="46">IF(P327="x",$C327,"")</f>
        <v/>
      </c>
      <c r="R327" s="148"/>
      <c r="S327" s="128" t="str">
        <f t="shared" ref="S327:S389" si="47">IF(R327="x",$C327,"")</f>
        <v/>
      </c>
      <c r="T327" s="47" t="str">
        <f t="shared" si="40"/>
        <v>OK!</v>
      </c>
    </row>
    <row r="328" spans="2:20" ht="16.5" x14ac:dyDescent="0.3">
      <c r="B328" s="129" t="s">
        <v>2793</v>
      </c>
      <c r="C328" s="128">
        <v>3.53</v>
      </c>
      <c r="D328" s="128">
        <v>7.7</v>
      </c>
      <c r="E328" s="128"/>
      <c r="F328" s="148" t="s">
        <v>2916</v>
      </c>
      <c r="G328" s="128">
        <f t="shared" si="41"/>
        <v>3.53</v>
      </c>
      <c r="H328" s="128"/>
      <c r="I328" s="128" t="str">
        <f t="shared" si="42"/>
        <v/>
      </c>
      <c r="J328" s="128"/>
      <c r="K328" s="128" t="str">
        <f t="shared" si="43"/>
        <v/>
      </c>
      <c r="L328" s="128"/>
      <c r="M328" s="128" t="str">
        <f t="shared" si="44"/>
        <v/>
      </c>
      <c r="N328" s="148"/>
      <c r="O328" s="128" t="str">
        <f t="shared" si="45"/>
        <v/>
      </c>
      <c r="P328" s="148"/>
      <c r="Q328" s="128" t="str">
        <f t="shared" si="46"/>
        <v/>
      </c>
      <c r="R328" s="148"/>
      <c r="S328" s="128" t="str">
        <f t="shared" si="47"/>
        <v/>
      </c>
      <c r="T328" s="47" t="str">
        <f t="shared" si="40"/>
        <v>OK!</v>
      </c>
    </row>
    <row r="329" spans="2:20" ht="16.5" x14ac:dyDescent="0.3">
      <c r="B329" s="129" t="s">
        <v>2591</v>
      </c>
      <c r="C329" s="128">
        <v>2.31</v>
      </c>
      <c r="D329" s="128">
        <v>6.25</v>
      </c>
      <c r="E329" s="128"/>
      <c r="F329" s="148" t="s">
        <v>2916</v>
      </c>
      <c r="G329" s="128">
        <f t="shared" si="41"/>
        <v>2.31</v>
      </c>
      <c r="H329" s="128"/>
      <c r="I329" s="128" t="str">
        <f t="shared" si="42"/>
        <v/>
      </c>
      <c r="J329" s="128"/>
      <c r="K329" s="128" t="str">
        <f t="shared" si="43"/>
        <v/>
      </c>
      <c r="L329" s="128"/>
      <c r="M329" s="128" t="str">
        <f t="shared" si="44"/>
        <v/>
      </c>
      <c r="N329" s="148"/>
      <c r="O329" s="128" t="str">
        <f t="shared" si="45"/>
        <v/>
      </c>
      <c r="P329" s="148"/>
      <c r="Q329" s="128" t="str">
        <f t="shared" si="46"/>
        <v/>
      </c>
      <c r="R329" s="148"/>
      <c r="S329" s="128" t="str">
        <f t="shared" si="47"/>
        <v/>
      </c>
      <c r="T329" s="47" t="str">
        <f t="shared" si="40"/>
        <v>OK!</v>
      </c>
    </row>
    <row r="330" spans="2:20" ht="16.5" x14ac:dyDescent="0.3">
      <c r="B330" s="129" t="s">
        <v>2666</v>
      </c>
      <c r="C330" s="128">
        <v>6.93</v>
      </c>
      <c r="D330" s="128">
        <v>11.05</v>
      </c>
      <c r="E330" s="128"/>
      <c r="F330" s="148" t="s">
        <v>2916</v>
      </c>
      <c r="G330" s="128">
        <f t="shared" si="41"/>
        <v>6.93</v>
      </c>
      <c r="H330" s="128"/>
      <c r="I330" s="128" t="str">
        <f t="shared" si="42"/>
        <v/>
      </c>
      <c r="J330" s="128"/>
      <c r="K330" s="128" t="str">
        <f t="shared" si="43"/>
        <v/>
      </c>
      <c r="L330" s="128"/>
      <c r="M330" s="128" t="str">
        <f t="shared" si="44"/>
        <v/>
      </c>
      <c r="N330" s="148"/>
      <c r="O330" s="128" t="str">
        <f t="shared" si="45"/>
        <v/>
      </c>
      <c r="P330" s="148"/>
      <c r="Q330" s="128" t="str">
        <f t="shared" si="46"/>
        <v/>
      </c>
      <c r="R330" s="148"/>
      <c r="S330" s="128" t="str">
        <f t="shared" si="47"/>
        <v/>
      </c>
      <c r="T330" s="47" t="str">
        <f t="shared" si="40"/>
        <v>OK!</v>
      </c>
    </row>
    <row r="331" spans="2:20" ht="16.5" x14ac:dyDescent="0.3">
      <c r="B331" s="129" t="s">
        <v>2697</v>
      </c>
      <c r="C331" s="128">
        <v>4.67</v>
      </c>
      <c r="D331" s="128">
        <v>8.65</v>
      </c>
      <c r="E331" s="128"/>
      <c r="F331" s="148" t="s">
        <v>2916</v>
      </c>
      <c r="G331" s="128">
        <f t="shared" si="41"/>
        <v>4.67</v>
      </c>
      <c r="H331" s="128"/>
      <c r="I331" s="128" t="str">
        <f t="shared" si="42"/>
        <v/>
      </c>
      <c r="J331" s="128"/>
      <c r="K331" s="128" t="str">
        <f t="shared" si="43"/>
        <v/>
      </c>
      <c r="L331" s="128"/>
      <c r="M331" s="128" t="str">
        <f t="shared" si="44"/>
        <v/>
      </c>
      <c r="N331" s="148"/>
      <c r="O331" s="128" t="str">
        <f t="shared" si="45"/>
        <v/>
      </c>
      <c r="P331" s="148"/>
      <c r="Q331" s="128" t="str">
        <f t="shared" si="46"/>
        <v/>
      </c>
      <c r="R331" s="148"/>
      <c r="S331" s="128" t="str">
        <f t="shared" si="47"/>
        <v/>
      </c>
      <c r="T331" s="47" t="str">
        <f t="shared" si="40"/>
        <v>OK!</v>
      </c>
    </row>
    <row r="332" spans="2:20" ht="16.5" x14ac:dyDescent="0.3">
      <c r="B332" s="129" t="s">
        <v>2594</v>
      </c>
      <c r="C332" s="128">
        <v>8.8000000000000007</v>
      </c>
      <c r="D332" s="128">
        <v>12.4</v>
      </c>
      <c r="E332" s="128"/>
      <c r="F332" s="148" t="s">
        <v>2916</v>
      </c>
      <c r="G332" s="128">
        <f t="shared" si="41"/>
        <v>8.8000000000000007</v>
      </c>
      <c r="H332" s="128"/>
      <c r="I332" s="128" t="str">
        <f t="shared" si="42"/>
        <v/>
      </c>
      <c r="J332" s="128"/>
      <c r="K332" s="128" t="str">
        <f t="shared" si="43"/>
        <v/>
      </c>
      <c r="L332" s="128"/>
      <c r="M332" s="128" t="str">
        <f t="shared" si="44"/>
        <v/>
      </c>
      <c r="N332" s="148"/>
      <c r="O332" s="128" t="str">
        <f t="shared" si="45"/>
        <v/>
      </c>
      <c r="P332" s="148"/>
      <c r="Q332" s="128" t="str">
        <f t="shared" si="46"/>
        <v/>
      </c>
      <c r="R332" s="148"/>
      <c r="S332" s="128" t="str">
        <f t="shared" si="47"/>
        <v/>
      </c>
      <c r="T332" s="47" t="str">
        <f t="shared" si="40"/>
        <v>OK!</v>
      </c>
    </row>
    <row r="333" spans="2:20" ht="16.5" x14ac:dyDescent="0.3">
      <c r="B333" s="129" t="s">
        <v>2794</v>
      </c>
      <c r="C333" s="128">
        <v>14.4</v>
      </c>
      <c r="D333" s="128">
        <v>15.2</v>
      </c>
      <c r="E333" s="128"/>
      <c r="F333" s="148" t="s">
        <v>2916</v>
      </c>
      <c r="G333" s="128">
        <f t="shared" si="41"/>
        <v>14.4</v>
      </c>
      <c r="H333" s="128"/>
      <c r="I333" s="128" t="str">
        <f t="shared" si="42"/>
        <v/>
      </c>
      <c r="J333" s="128"/>
      <c r="K333" s="128" t="str">
        <f t="shared" si="43"/>
        <v/>
      </c>
      <c r="L333" s="128"/>
      <c r="M333" s="128" t="str">
        <f t="shared" si="44"/>
        <v/>
      </c>
      <c r="N333" s="148"/>
      <c r="O333" s="128" t="str">
        <f t="shared" si="45"/>
        <v/>
      </c>
      <c r="P333" s="148"/>
      <c r="Q333" s="128" t="str">
        <f t="shared" si="46"/>
        <v/>
      </c>
      <c r="R333" s="148"/>
      <c r="S333" s="128" t="str">
        <f t="shared" si="47"/>
        <v/>
      </c>
      <c r="T333" s="47" t="str">
        <f t="shared" si="40"/>
        <v>OK!</v>
      </c>
    </row>
    <row r="334" spans="2:20" ht="16.5" x14ac:dyDescent="0.3">
      <c r="B334" s="136" t="s">
        <v>2795</v>
      </c>
      <c r="C334" s="159"/>
      <c r="D334" s="159"/>
      <c r="E334" s="159"/>
      <c r="F334" s="148"/>
      <c r="G334" s="128"/>
      <c r="H334" s="128"/>
      <c r="I334" s="128" t="str">
        <f t="shared" si="42"/>
        <v/>
      </c>
      <c r="J334" s="128"/>
      <c r="K334" s="128" t="str">
        <f t="shared" si="43"/>
        <v/>
      </c>
      <c r="L334" s="128"/>
      <c r="M334" s="128" t="str">
        <f t="shared" si="44"/>
        <v/>
      </c>
      <c r="N334" s="148"/>
      <c r="O334" s="128" t="str">
        <f t="shared" si="45"/>
        <v/>
      </c>
      <c r="P334" s="148"/>
      <c r="Q334" s="128" t="str">
        <f t="shared" si="46"/>
        <v/>
      </c>
      <c r="R334" s="148"/>
      <c r="S334" s="128" t="str">
        <f t="shared" si="47"/>
        <v/>
      </c>
      <c r="T334" s="47" t="str">
        <f t="shared" si="40"/>
        <v>OK!</v>
      </c>
    </row>
    <row r="335" spans="2:20" ht="16.5" x14ac:dyDescent="0.3">
      <c r="B335" s="129" t="s">
        <v>2796</v>
      </c>
      <c r="C335" s="128">
        <v>1.87</v>
      </c>
      <c r="D335" s="128">
        <v>5.7</v>
      </c>
      <c r="E335" s="128"/>
      <c r="F335" s="148" t="s">
        <v>2916</v>
      </c>
      <c r="G335" s="128">
        <f t="shared" si="41"/>
        <v>1.87</v>
      </c>
      <c r="H335" s="128"/>
      <c r="I335" s="128" t="str">
        <f t="shared" si="42"/>
        <v/>
      </c>
      <c r="J335" s="128"/>
      <c r="K335" s="128" t="str">
        <f t="shared" si="43"/>
        <v/>
      </c>
      <c r="L335" s="128"/>
      <c r="M335" s="128" t="str">
        <f t="shared" si="44"/>
        <v/>
      </c>
      <c r="N335" s="148"/>
      <c r="O335" s="128" t="str">
        <f t="shared" si="45"/>
        <v/>
      </c>
      <c r="P335" s="148"/>
      <c r="Q335" s="128" t="str">
        <f t="shared" si="46"/>
        <v/>
      </c>
      <c r="R335" s="148"/>
      <c r="S335" s="128" t="str">
        <f t="shared" si="47"/>
        <v/>
      </c>
      <c r="T335" s="47" t="str">
        <f t="shared" si="40"/>
        <v>OK!</v>
      </c>
    </row>
    <row r="336" spans="2:20" ht="16.5" x14ac:dyDescent="0.3">
      <c r="B336" s="129" t="s">
        <v>2797</v>
      </c>
      <c r="C336" s="128">
        <v>2.74</v>
      </c>
      <c r="D336" s="128">
        <v>6.76</v>
      </c>
      <c r="E336" s="128">
        <v>1.25</v>
      </c>
      <c r="F336" s="148" t="s">
        <v>2916</v>
      </c>
      <c r="G336" s="128">
        <f t="shared" si="41"/>
        <v>2.74</v>
      </c>
      <c r="H336" s="128"/>
      <c r="I336" s="128" t="str">
        <f t="shared" si="42"/>
        <v/>
      </c>
      <c r="J336" s="128"/>
      <c r="K336" s="128" t="str">
        <f t="shared" si="43"/>
        <v/>
      </c>
      <c r="L336" s="128"/>
      <c r="M336" s="128" t="str">
        <f t="shared" si="44"/>
        <v/>
      </c>
      <c r="N336" s="148"/>
      <c r="O336" s="128" t="str">
        <f t="shared" si="45"/>
        <v/>
      </c>
      <c r="P336" s="148"/>
      <c r="Q336" s="128" t="str">
        <f t="shared" si="46"/>
        <v/>
      </c>
      <c r="R336" s="148"/>
      <c r="S336" s="128" t="str">
        <f t="shared" si="47"/>
        <v/>
      </c>
      <c r="T336" s="47" t="str">
        <f t="shared" si="40"/>
        <v>OK!</v>
      </c>
    </row>
    <row r="337" spans="2:20" ht="16.5" x14ac:dyDescent="0.3">
      <c r="B337" s="129" t="s">
        <v>2798</v>
      </c>
      <c r="C337" s="128">
        <v>3.98</v>
      </c>
      <c r="D337" s="128">
        <v>8.0500000000000007</v>
      </c>
      <c r="E337" s="128">
        <v>1.77</v>
      </c>
      <c r="F337" s="148" t="s">
        <v>2916</v>
      </c>
      <c r="G337" s="128">
        <f t="shared" si="41"/>
        <v>3.98</v>
      </c>
      <c r="H337" s="128"/>
      <c r="I337" s="128" t="str">
        <f t="shared" si="42"/>
        <v/>
      </c>
      <c r="J337" s="128"/>
      <c r="K337" s="128" t="str">
        <f t="shared" si="43"/>
        <v/>
      </c>
      <c r="L337" s="128"/>
      <c r="M337" s="128" t="str">
        <f t="shared" si="44"/>
        <v/>
      </c>
      <c r="N337" s="148"/>
      <c r="O337" s="128" t="str">
        <f t="shared" si="45"/>
        <v/>
      </c>
      <c r="P337" s="148"/>
      <c r="Q337" s="128" t="str">
        <f t="shared" si="46"/>
        <v/>
      </c>
      <c r="R337" s="148"/>
      <c r="S337" s="128" t="str">
        <f t="shared" si="47"/>
        <v/>
      </c>
      <c r="T337" s="47" t="str">
        <f t="shared" si="40"/>
        <v>OK!</v>
      </c>
    </row>
    <row r="338" spans="2:20" ht="16.5" x14ac:dyDescent="0.3">
      <c r="B338" s="129"/>
      <c r="C338" s="128"/>
      <c r="D338" s="128"/>
      <c r="E338" s="128"/>
      <c r="F338" s="148"/>
      <c r="G338" s="128"/>
      <c r="H338" s="128"/>
      <c r="I338" s="128" t="str">
        <f t="shared" si="42"/>
        <v/>
      </c>
      <c r="J338" s="128"/>
      <c r="K338" s="128" t="str">
        <f t="shared" si="43"/>
        <v/>
      </c>
      <c r="L338" s="128"/>
      <c r="M338" s="128" t="str">
        <f t="shared" si="44"/>
        <v/>
      </c>
      <c r="N338" s="148"/>
      <c r="O338" s="128" t="str">
        <f t="shared" si="45"/>
        <v/>
      </c>
      <c r="P338" s="148"/>
      <c r="Q338" s="128" t="str">
        <f t="shared" si="46"/>
        <v/>
      </c>
      <c r="R338" s="148"/>
      <c r="S338" s="128" t="str">
        <f t="shared" si="47"/>
        <v/>
      </c>
      <c r="T338" s="47" t="str">
        <f t="shared" si="40"/>
        <v>OK!</v>
      </c>
    </row>
    <row r="339" spans="2:20" ht="16.5" x14ac:dyDescent="0.3">
      <c r="B339" s="134" t="s">
        <v>193</v>
      </c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47" t="str">
        <f t="shared" si="40"/>
        <v>OK!</v>
      </c>
    </row>
    <row r="340" spans="2:20" ht="16.5" x14ac:dyDescent="0.3">
      <c r="B340" s="156" t="s">
        <v>2543</v>
      </c>
      <c r="C340" s="156"/>
      <c r="D340" s="156"/>
      <c r="E340" s="156"/>
      <c r="F340" s="148"/>
      <c r="G340" s="128"/>
      <c r="H340" s="128"/>
      <c r="I340" s="128" t="str">
        <f t="shared" si="42"/>
        <v/>
      </c>
      <c r="J340" s="128"/>
      <c r="K340" s="128" t="str">
        <f t="shared" si="43"/>
        <v/>
      </c>
      <c r="L340" s="128"/>
      <c r="M340" s="128" t="str">
        <f t="shared" si="44"/>
        <v/>
      </c>
      <c r="N340" s="148"/>
      <c r="O340" s="128" t="str">
        <f t="shared" si="45"/>
        <v/>
      </c>
      <c r="P340" s="148"/>
      <c r="Q340" s="128" t="str">
        <f t="shared" si="46"/>
        <v/>
      </c>
      <c r="R340" s="148"/>
      <c r="S340" s="128" t="str">
        <f t="shared" si="47"/>
        <v/>
      </c>
      <c r="T340" s="47" t="str">
        <f t="shared" si="40"/>
        <v>OK!</v>
      </c>
    </row>
    <row r="341" spans="2:20" ht="16.5" x14ac:dyDescent="0.3">
      <c r="B341" s="129" t="s">
        <v>2799</v>
      </c>
      <c r="C341" s="150">
        <v>3</v>
      </c>
      <c r="D341" s="150">
        <v>7.99</v>
      </c>
      <c r="E341" s="150"/>
      <c r="F341" s="148" t="s">
        <v>2916</v>
      </c>
      <c r="G341" s="128">
        <f t="shared" si="41"/>
        <v>3</v>
      </c>
      <c r="H341" s="128"/>
      <c r="I341" s="128" t="str">
        <f t="shared" si="42"/>
        <v/>
      </c>
      <c r="J341" s="128"/>
      <c r="K341" s="128" t="str">
        <f t="shared" si="43"/>
        <v/>
      </c>
      <c r="L341" s="128"/>
      <c r="M341" s="128" t="str">
        <f t="shared" si="44"/>
        <v/>
      </c>
      <c r="N341" s="148"/>
      <c r="O341" s="128" t="str">
        <f t="shared" si="45"/>
        <v/>
      </c>
      <c r="P341" s="148"/>
      <c r="Q341" s="128" t="str">
        <f t="shared" si="46"/>
        <v/>
      </c>
      <c r="R341" s="148"/>
      <c r="S341" s="128" t="str">
        <f t="shared" si="47"/>
        <v/>
      </c>
      <c r="T341" s="47" t="str">
        <f t="shared" si="40"/>
        <v>OK!</v>
      </c>
    </row>
    <row r="342" spans="2:20" ht="16.5" x14ac:dyDescent="0.3">
      <c r="B342" s="129" t="s">
        <v>2800</v>
      </c>
      <c r="C342" s="150">
        <v>1.51</v>
      </c>
      <c r="D342" s="150">
        <v>5</v>
      </c>
      <c r="E342" s="150"/>
      <c r="F342" s="148" t="s">
        <v>2916</v>
      </c>
      <c r="G342" s="128">
        <f t="shared" si="41"/>
        <v>1.51</v>
      </c>
      <c r="H342" s="128"/>
      <c r="I342" s="128" t="str">
        <f t="shared" si="42"/>
        <v/>
      </c>
      <c r="J342" s="128"/>
      <c r="K342" s="128" t="str">
        <f t="shared" si="43"/>
        <v/>
      </c>
      <c r="L342" s="128"/>
      <c r="M342" s="128" t="str">
        <f t="shared" si="44"/>
        <v/>
      </c>
      <c r="N342" s="148"/>
      <c r="O342" s="128" t="str">
        <f t="shared" si="45"/>
        <v/>
      </c>
      <c r="P342" s="148"/>
      <c r="Q342" s="128" t="str">
        <f t="shared" si="46"/>
        <v/>
      </c>
      <c r="R342" s="148"/>
      <c r="S342" s="128" t="str">
        <f t="shared" si="47"/>
        <v/>
      </c>
      <c r="T342" s="47" t="str">
        <f t="shared" si="40"/>
        <v>OK!</v>
      </c>
    </row>
    <row r="343" spans="2:20" ht="16.5" x14ac:dyDescent="0.3">
      <c r="B343" s="129" t="s">
        <v>2801</v>
      </c>
      <c r="C343" s="150">
        <v>43.61</v>
      </c>
      <c r="D343" s="150">
        <v>28.09</v>
      </c>
      <c r="E343" s="150"/>
      <c r="F343" s="148" t="s">
        <v>2916</v>
      </c>
      <c r="G343" s="128">
        <f t="shared" si="41"/>
        <v>43.61</v>
      </c>
      <c r="H343" s="128"/>
      <c r="I343" s="128" t="str">
        <f t="shared" si="42"/>
        <v/>
      </c>
      <c r="J343" s="128"/>
      <c r="K343" s="128" t="str">
        <f t="shared" si="43"/>
        <v/>
      </c>
      <c r="L343" s="128"/>
      <c r="M343" s="128" t="str">
        <f t="shared" si="44"/>
        <v/>
      </c>
      <c r="N343" s="148"/>
      <c r="O343" s="128" t="str">
        <f t="shared" si="45"/>
        <v/>
      </c>
      <c r="P343" s="148"/>
      <c r="Q343" s="128" t="str">
        <f t="shared" si="46"/>
        <v/>
      </c>
      <c r="R343" s="148"/>
      <c r="S343" s="128" t="str">
        <f t="shared" si="47"/>
        <v/>
      </c>
      <c r="T343" s="47" t="str">
        <f t="shared" si="40"/>
        <v>OK!</v>
      </c>
    </row>
    <row r="344" spans="2:20" ht="16.5" x14ac:dyDescent="0.3">
      <c r="B344" s="129" t="s">
        <v>2591</v>
      </c>
      <c r="C344" s="150">
        <v>2.74</v>
      </c>
      <c r="D344" s="150">
        <v>6.97</v>
      </c>
      <c r="E344" s="150"/>
      <c r="F344" s="148" t="s">
        <v>2916</v>
      </c>
      <c r="G344" s="128">
        <f t="shared" si="41"/>
        <v>2.74</v>
      </c>
      <c r="H344" s="128"/>
      <c r="I344" s="128" t="str">
        <f t="shared" si="42"/>
        <v/>
      </c>
      <c r="J344" s="128"/>
      <c r="K344" s="128" t="str">
        <f t="shared" si="43"/>
        <v/>
      </c>
      <c r="L344" s="128"/>
      <c r="M344" s="128" t="str">
        <f t="shared" si="44"/>
        <v/>
      </c>
      <c r="N344" s="148"/>
      <c r="O344" s="128" t="str">
        <f t="shared" si="45"/>
        <v/>
      </c>
      <c r="P344" s="148"/>
      <c r="Q344" s="128" t="str">
        <f t="shared" si="46"/>
        <v/>
      </c>
      <c r="R344" s="148"/>
      <c r="S344" s="128" t="str">
        <f t="shared" si="47"/>
        <v/>
      </c>
      <c r="T344" s="47" t="str">
        <f t="shared" si="40"/>
        <v>OK!</v>
      </c>
    </row>
    <row r="345" spans="2:20" ht="16.5" x14ac:dyDescent="0.3">
      <c r="B345" s="129" t="s">
        <v>2678</v>
      </c>
      <c r="C345" s="150">
        <v>2.52</v>
      </c>
      <c r="D345" s="150">
        <v>6.78</v>
      </c>
      <c r="E345" s="150"/>
      <c r="F345" s="148" t="s">
        <v>2916</v>
      </c>
      <c r="G345" s="128">
        <f t="shared" si="41"/>
        <v>2.52</v>
      </c>
      <c r="H345" s="128"/>
      <c r="I345" s="128" t="str">
        <f t="shared" si="42"/>
        <v/>
      </c>
      <c r="J345" s="128"/>
      <c r="K345" s="128" t="str">
        <f t="shared" si="43"/>
        <v/>
      </c>
      <c r="L345" s="128"/>
      <c r="M345" s="128" t="str">
        <f t="shared" si="44"/>
        <v/>
      </c>
      <c r="N345" s="148"/>
      <c r="O345" s="128" t="str">
        <f t="shared" si="45"/>
        <v/>
      </c>
      <c r="P345" s="148"/>
      <c r="Q345" s="128" t="str">
        <f t="shared" si="46"/>
        <v/>
      </c>
      <c r="R345" s="148"/>
      <c r="S345" s="128" t="str">
        <f t="shared" si="47"/>
        <v/>
      </c>
      <c r="T345" s="47" t="str">
        <f t="shared" si="40"/>
        <v>OK!</v>
      </c>
    </row>
    <row r="346" spans="2:20" ht="16.5" x14ac:dyDescent="0.3">
      <c r="B346" s="129" t="s">
        <v>2802</v>
      </c>
      <c r="C346" s="150">
        <v>2.86</v>
      </c>
      <c r="D346" s="150">
        <v>7.08</v>
      </c>
      <c r="E346" s="150"/>
      <c r="F346" s="148" t="s">
        <v>2916</v>
      </c>
      <c r="G346" s="128">
        <f t="shared" si="41"/>
        <v>2.86</v>
      </c>
      <c r="H346" s="128"/>
      <c r="I346" s="128" t="str">
        <f t="shared" si="42"/>
        <v/>
      </c>
      <c r="J346" s="128"/>
      <c r="K346" s="128" t="str">
        <f t="shared" si="43"/>
        <v/>
      </c>
      <c r="L346" s="128"/>
      <c r="M346" s="128" t="str">
        <f t="shared" si="44"/>
        <v/>
      </c>
      <c r="N346" s="148"/>
      <c r="O346" s="128" t="str">
        <f t="shared" si="45"/>
        <v/>
      </c>
      <c r="P346" s="148"/>
      <c r="Q346" s="128" t="str">
        <f t="shared" si="46"/>
        <v/>
      </c>
      <c r="R346" s="148"/>
      <c r="S346" s="128" t="str">
        <f t="shared" si="47"/>
        <v/>
      </c>
      <c r="T346" s="47" t="str">
        <f t="shared" si="40"/>
        <v>OK!</v>
      </c>
    </row>
    <row r="347" spans="2:20" ht="16.5" x14ac:dyDescent="0.3">
      <c r="B347" s="129" t="s">
        <v>2660</v>
      </c>
      <c r="C347" s="150">
        <v>2.67</v>
      </c>
      <c r="D347" s="150">
        <v>7.14</v>
      </c>
      <c r="E347" s="150"/>
      <c r="F347" s="148" t="s">
        <v>2916</v>
      </c>
      <c r="G347" s="128">
        <f t="shared" si="41"/>
        <v>2.67</v>
      </c>
      <c r="H347" s="128"/>
      <c r="I347" s="128" t="str">
        <f t="shared" si="42"/>
        <v/>
      </c>
      <c r="J347" s="128"/>
      <c r="K347" s="128" t="str">
        <f t="shared" si="43"/>
        <v/>
      </c>
      <c r="L347" s="128"/>
      <c r="M347" s="128" t="str">
        <f t="shared" si="44"/>
        <v/>
      </c>
      <c r="N347" s="148"/>
      <c r="O347" s="128" t="str">
        <f t="shared" si="45"/>
        <v/>
      </c>
      <c r="P347" s="148"/>
      <c r="Q347" s="128" t="str">
        <f t="shared" si="46"/>
        <v/>
      </c>
      <c r="R347" s="148"/>
      <c r="S347" s="128" t="str">
        <f t="shared" si="47"/>
        <v/>
      </c>
      <c r="T347" s="47" t="str">
        <f t="shared" si="40"/>
        <v>OK!</v>
      </c>
    </row>
    <row r="348" spans="2:20" ht="16.5" x14ac:dyDescent="0.3">
      <c r="B348" s="129" t="s">
        <v>2661</v>
      </c>
      <c r="C348" s="150">
        <v>2.67</v>
      </c>
      <c r="D348" s="150">
        <v>7.14</v>
      </c>
      <c r="E348" s="150"/>
      <c r="F348" s="148" t="s">
        <v>2916</v>
      </c>
      <c r="G348" s="128">
        <f t="shared" si="41"/>
        <v>2.67</v>
      </c>
      <c r="H348" s="128"/>
      <c r="I348" s="128" t="str">
        <f t="shared" si="42"/>
        <v/>
      </c>
      <c r="J348" s="128"/>
      <c r="K348" s="128" t="str">
        <f t="shared" si="43"/>
        <v/>
      </c>
      <c r="L348" s="128"/>
      <c r="M348" s="128" t="str">
        <f t="shared" si="44"/>
        <v/>
      </c>
      <c r="N348" s="148"/>
      <c r="O348" s="128" t="str">
        <f t="shared" si="45"/>
        <v/>
      </c>
      <c r="P348" s="148"/>
      <c r="Q348" s="128" t="str">
        <f t="shared" si="46"/>
        <v/>
      </c>
      <c r="R348" s="148"/>
      <c r="S348" s="128" t="str">
        <f t="shared" si="47"/>
        <v/>
      </c>
      <c r="T348" s="47" t="str">
        <f t="shared" si="40"/>
        <v>OK!</v>
      </c>
    </row>
    <row r="349" spans="2:20" ht="16.5" x14ac:dyDescent="0.3">
      <c r="B349" s="129" t="s">
        <v>2594</v>
      </c>
      <c r="C349" s="150">
        <v>32.14</v>
      </c>
      <c r="D349" s="150">
        <v>35.74</v>
      </c>
      <c r="E349" s="150"/>
      <c r="F349" s="148" t="s">
        <v>2916</v>
      </c>
      <c r="G349" s="128">
        <f t="shared" si="41"/>
        <v>32.14</v>
      </c>
      <c r="H349" s="128"/>
      <c r="I349" s="128" t="str">
        <f t="shared" si="42"/>
        <v/>
      </c>
      <c r="J349" s="128"/>
      <c r="K349" s="128" t="str">
        <f t="shared" si="43"/>
        <v/>
      </c>
      <c r="L349" s="128"/>
      <c r="M349" s="128" t="str">
        <f t="shared" si="44"/>
        <v/>
      </c>
      <c r="N349" s="148"/>
      <c r="O349" s="128" t="str">
        <f t="shared" si="45"/>
        <v/>
      </c>
      <c r="P349" s="148"/>
      <c r="Q349" s="128" t="str">
        <f t="shared" si="46"/>
        <v/>
      </c>
      <c r="R349" s="148"/>
      <c r="S349" s="128" t="str">
        <f t="shared" si="47"/>
        <v/>
      </c>
      <c r="T349" s="47" t="str">
        <f t="shared" si="40"/>
        <v>OK!</v>
      </c>
    </row>
    <row r="350" spans="2:20" ht="16.5" x14ac:dyDescent="0.3">
      <c r="B350" s="129" t="s">
        <v>2803</v>
      </c>
      <c r="C350" s="150">
        <v>20.72</v>
      </c>
      <c r="D350" s="150">
        <v>18.7</v>
      </c>
      <c r="E350" s="150"/>
      <c r="F350" s="148" t="s">
        <v>2916</v>
      </c>
      <c r="G350" s="128">
        <f t="shared" si="41"/>
        <v>20.72</v>
      </c>
      <c r="H350" s="128"/>
      <c r="I350" s="128" t="str">
        <f t="shared" si="42"/>
        <v/>
      </c>
      <c r="J350" s="128"/>
      <c r="K350" s="128" t="str">
        <f t="shared" si="43"/>
        <v/>
      </c>
      <c r="L350" s="128"/>
      <c r="M350" s="128" t="str">
        <f t="shared" si="44"/>
        <v/>
      </c>
      <c r="N350" s="148"/>
      <c r="O350" s="128" t="str">
        <f t="shared" si="45"/>
        <v/>
      </c>
      <c r="P350" s="148"/>
      <c r="Q350" s="128" t="str">
        <f t="shared" si="46"/>
        <v/>
      </c>
      <c r="R350" s="148"/>
      <c r="S350" s="128" t="str">
        <f t="shared" si="47"/>
        <v/>
      </c>
      <c r="T350" s="47" t="str">
        <f t="shared" si="40"/>
        <v>OK!</v>
      </c>
    </row>
    <row r="351" spans="2:20" ht="16.5" x14ac:dyDescent="0.3">
      <c r="B351" s="129" t="s">
        <v>2543</v>
      </c>
      <c r="C351" s="150">
        <v>131.66</v>
      </c>
      <c r="D351" s="150">
        <v>57.09</v>
      </c>
      <c r="E351" s="150"/>
      <c r="F351" s="148" t="s">
        <v>2916</v>
      </c>
      <c r="G351" s="128">
        <f t="shared" si="41"/>
        <v>131.66</v>
      </c>
      <c r="H351" s="128"/>
      <c r="I351" s="128" t="str">
        <f t="shared" si="42"/>
        <v/>
      </c>
      <c r="J351" s="128"/>
      <c r="K351" s="128" t="str">
        <f t="shared" si="43"/>
        <v/>
      </c>
      <c r="L351" s="128"/>
      <c r="M351" s="128" t="str">
        <f t="shared" si="44"/>
        <v/>
      </c>
      <c r="N351" s="148"/>
      <c r="O351" s="128" t="str">
        <f t="shared" si="45"/>
        <v/>
      </c>
      <c r="P351" s="148"/>
      <c r="Q351" s="128" t="str">
        <f t="shared" si="46"/>
        <v/>
      </c>
      <c r="R351" s="148"/>
      <c r="S351" s="128" t="str">
        <f t="shared" si="47"/>
        <v/>
      </c>
      <c r="T351" s="47" t="str">
        <f t="shared" si="40"/>
        <v>OK!</v>
      </c>
    </row>
    <row r="352" spans="2:20" ht="16.5" x14ac:dyDescent="0.3">
      <c r="B352" s="129" t="s">
        <v>2804</v>
      </c>
      <c r="C352" s="150">
        <v>6.24</v>
      </c>
      <c r="D352" s="150">
        <v>10</v>
      </c>
      <c r="E352" s="150"/>
      <c r="F352" s="148" t="s">
        <v>2916</v>
      </c>
      <c r="G352" s="128">
        <f t="shared" si="41"/>
        <v>6.24</v>
      </c>
      <c r="H352" s="128"/>
      <c r="I352" s="128" t="str">
        <f t="shared" si="42"/>
        <v/>
      </c>
      <c r="J352" s="128"/>
      <c r="K352" s="128" t="str">
        <f t="shared" si="43"/>
        <v/>
      </c>
      <c r="L352" s="128"/>
      <c r="M352" s="128" t="str">
        <f t="shared" si="44"/>
        <v/>
      </c>
      <c r="N352" s="148"/>
      <c r="O352" s="128" t="str">
        <f t="shared" si="45"/>
        <v/>
      </c>
      <c r="P352" s="148"/>
      <c r="Q352" s="128" t="str">
        <f t="shared" si="46"/>
        <v/>
      </c>
      <c r="R352" s="148"/>
      <c r="S352" s="128" t="str">
        <f t="shared" si="47"/>
        <v/>
      </c>
      <c r="T352" s="47" t="str">
        <f t="shared" si="40"/>
        <v>OK!</v>
      </c>
    </row>
    <row r="353" spans="2:20" ht="16.5" x14ac:dyDescent="0.3">
      <c r="B353" s="129" t="s">
        <v>2805</v>
      </c>
      <c r="C353" s="150">
        <v>9.64</v>
      </c>
      <c r="D353" s="150">
        <v>12.71</v>
      </c>
      <c r="E353" s="150"/>
      <c r="F353" s="148" t="s">
        <v>2916</v>
      </c>
      <c r="G353" s="128">
        <f t="shared" si="41"/>
        <v>9.64</v>
      </c>
      <c r="H353" s="128"/>
      <c r="I353" s="128" t="str">
        <f t="shared" si="42"/>
        <v/>
      </c>
      <c r="J353" s="128"/>
      <c r="K353" s="128" t="str">
        <f t="shared" si="43"/>
        <v/>
      </c>
      <c r="L353" s="128"/>
      <c r="M353" s="128" t="str">
        <f t="shared" si="44"/>
        <v/>
      </c>
      <c r="N353" s="148"/>
      <c r="O353" s="128" t="str">
        <f t="shared" si="45"/>
        <v/>
      </c>
      <c r="P353" s="148"/>
      <c r="Q353" s="128" t="str">
        <f t="shared" si="46"/>
        <v/>
      </c>
      <c r="R353" s="148"/>
      <c r="S353" s="128" t="str">
        <f t="shared" si="47"/>
        <v/>
      </c>
      <c r="T353" s="47" t="str">
        <f t="shared" si="40"/>
        <v>OK!</v>
      </c>
    </row>
    <row r="354" spans="2:20" ht="16.5" x14ac:dyDescent="0.3">
      <c r="B354" s="129" t="s">
        <v>2591</v>
      </c>
      <c r="C354" s="150">
        <v>3</v>
      </c>
      <c r="D354" s="150">
        <v>7.4</v>
      </c>
      <c r="E354" s="150"/>
      <c r="F354" s="148" t="s">
        <v>2916</v>
      </c>
      <c r="G354" s="128">
        <f t="shared" si="41"/>
        <v>3</v>
      </c>
      <c r="H354" s="128"/>
      <c r="I354" s="128" t="str">
        <f t="shared" si="42"/>
        <v/>
      </c>
      <c r="J354" s="128"/>
      <c r="K354" s="128" t="str">
        <f t="shared" si="43"/>
        <v/>
      </c>
      <c r="L354" s="128"/>
      <c r="M354" s="128" t="str">
        <f t="shared" si="44"/>
        <v/>
      </c>
      <c r="N354" s="148"/>
      <c r="O354" s="128" t="str">
        <f t="shared" si="45"/>
        <v/>
      </c>
      <c r="P354" s="148"/>
      <c r="Q354" s="128" t="str">
        <f t="shared" si="46"/>
        <v/>
      </c>
      <c r="R354" s="148"/>
      <c r="S354" s="128" t="str">
        <f t="shared" si="47"/>
        <v/>
      </c>
      <c r="T354" s="47" t="str">
        <f t="shared" si="40"/>
        <v>OK!</v>
      </c>
    </row>
    <row r="355" spans="2:20" ht="16.5" x14ac:dyDescent="0.3">
      <c r="B355" s="136" t="s">
        <v>2545</v>
      </c>
      <c r="C355" s="150"/>
      <c r="D355" s="150"/>
      <c r="E355" s="150"/>
      <c r="F355" s="148"/>
      <c r="G355" s="128"/>
      <c r="H355" s="128"/>
      <c r="I355" s="128" t="str">
        <f t="shared" si="42"/>
        <v/>
      </c>
      <c r="J355" s="128"/>
      <c r="K355" s="128" t="str">
        <f t="shared" si="43"/>
        <v/>
      </c>
      <c r="L355" s="128"/>
      <c r="M355" s="128" t="str">
        <f t="shared" si="44"/>
        <v/>
      </c>
      <c r="N355" s="148"/>
      <c r="O355" s="128" t="str">
        <f t="shared" si="45"/>
        <v/>
      </c>
      <c r="P355" s="148"/>
      <c r="Q355" s="128" t="str">
        <f t="shared" si="46"/>
        <v/>
      </c>
      <c r="R355" s="148"/>
      <c r="S355" s="128" t="str">
        <f t="shared" si="47"/>
        <v/>
      </c>
      <c r="T355" s="47" t="str">
        <f t="shared" si="40"/>
        <v>OK!</v>
      </c>
    </row>
    <row r="356" spans="2:20" ht="16.5" x14ac:dyDescent="0.3">
      <c r="B356" s="129" t="s">
        <v>2545</v>
      </c>
      <c r="C356" s="150">
        <v>3.59</v>
      </c>
      <c r="D356" s="150">
        <v>7.6</v>
      </c>
      <c r="E356" s="150"/>
      <c r="F356" s="148" t="s">
        <v>2916</v>
      </c>
      <c r="G356" s="128">
        <f t="shared" si="41"/>
        <v>3.59</v>
      </c>
      <c r="H356" s="128"/>
      <c r="I356" s="128" t="str">
        <f t="shared" si="42"/>
        <v/>
      </c>
      <c r="J356" s="128"/>
      <c r="K356" s="128" t="str">
        <f t="shared" si="43"/>
        <v/>
      </c>
      <c r="L356" s="128"/>
      <c r="M356" s="128" t="str">
        <f t="shared" si="44"/>
        <v/>
      </c>
      <c r="N356" s="148"/>
      <c r="O356" s="128" t="str">
        <f t="shared" si="45"/>
        <v/>
      </c>
      <c r="P356" s="148"/>
      <c r="Q356" s="128" t="str">
        <f t="shared" si="46"/>
        <v/>
      </c>
      <c r="R356" s="148"/>
      <c r="S356" s="128" t="str">
        <f t="shared" si="47"/>
        <v/>
      </c>
      <c r="T356" s="47" t="str">
        <f t="shared" si="40"/>
        <v>OK!</v>
      </c>
    </row>
    <row r="357" spans="2:20" ht="16.5" x14ac:dyDescent="0.3">
      <c r="B357" s="129" t="s">
        <v>2806</v>
      </c>
      <c r="C357" s="150">
        <v>2.25</v>
      </c>
      <c r="D357" s="150">
        <v>6.3</v>
      </c>
      <c r="E357" s="150"/>
      <c r="F357" s="148" t="s">
        <v>2916</v>
      </c>
      <c r="G357" s="128">
        <f t="shared" si="41"/>
        <v>2.25</v>
      </c>
      <c r="H357" s="128"/>
      <c r="I357" s="128" t="str">
        <f t="shared" si="42"/>
        <v/>
      </c>
      <c r="J357" s="128"/>
      <c r="K357" s="128" t="str">
        <f t="shared" si="43"/>
        <v/>
      </c>
      <c r="L357" s="128"/>
      <c r="M357" s="128" t="str">
        <f t="shared" si="44"/>
        <v/>
      </c>
      <c r="N357" s="148"/>
      <c r="O357" s="128" t="str">
        <f t="shared" si="45"/>
        <v/>
      </c>
      <c r="P357" s="148"/>
      <c r="Q357" s="128" t="str">
        <f t="shared" si="46"/>
        <v/>
      </c>
      <c r="R357" s="148"/>
      <c r="S357" s="128" t="str">
        <f t="shared" si="47"/>
        <v/>
      </c>
      <c r="T357" s="47" t="str">
        <f t="shared" si="40"/>
        <v>OK!</v>
      </c>
    </row>
    <row r="358" spans="2:20" ht="16.5" x14ac:dyDescent="0.3">
      <c r="B358" s="136" t="s">
        <v>2807</v>
      </c>
      <c r="C358" s="128"/>
      <c r="D358" s="128"/>
      <c r="E358" s="128"/>
      <c r="F358" s="148"/>
      <c r="G358" s="128"/>
      <c r="H358" s="128"/>
      <c r="I358" s="128" t="str">
        <f t="shared" si="42"/>
        <v/>
      </c>
      <c r="J358" s="128"/>
      <c r="K358" s="128" t="str">
        <f t="shared" si="43"/>
        <v/>
      </c>
      <c r="L358" s="128"/>
      <c r="M358" s="128" t="str">
        <f t="shared" si="44"/>
        <v/>
      </c>
      <c r="N358" s="148"/>
      <c r="O358" s="128" t="str">
        <f t="shared" si="45"/>
        <v/>
      </c>
      <c r="P358" s="148"/>
      <c r="Q358" s="128" t="str">
        <f t="shared" si="46"/>
        <v/>
      </c>
      <c r="R358" s="148"/>
      <c r="S358" s="128" t="str">
        <f t="shared" si="47"/>
        <v/>
      </c>
      <c r="T358" s="47" t="str">
        <f t="shared" si="40"/>
        <v>OK!</v>
      </c>
    </row>
    <row r="359" spans="2:20" ht="16.5" x14ac:dyDescent="0.3">
      <c r="B359" s="129" t="s">
        <v>2808</v>
      </c>
      <c r="C359" s="128">
        <v>7.46</v>
      </c>
      <c r="D359" s="128">
        <v>11.12</v>
      </c>
      <c r="E359" s="128">
        <v>3.17</v>
      </c>
      <c r="F359" s="148" t="s">
        <v>2916</v>
      </c>
      <c r="G359" s="128">
        <f t="shared" si="41"/>
        <v>7.46</v>
      </c>
      <c r="H359" s="128"/>
      <c r="I359" s="128" t="str">
        <f t="shared" si="42"/>
        <v/>
      </c>
      <c r="J359" s="128"/>
      <c r="K359" s="128" t="str">
        <f t="shared" si="43"/>
        <v/>
      </c>
      <c r="L359" s="128"/>
      <c r="M359" s="128" t="str">
        <f t="shared" si="44"/>
        <v/>
      </c>
      <c r="N359" s="148"/>
      <c r="O359" s="128" t="str">
        <f t="shared" si="45"/>
        <v/>
      </c>
      <c r="P359" s="148"/>
      <c r="Q359" s="128" t="str">
        <f t="shared" si="46"/>
        <v/>
      </c>
      <c r="R359" s="148"/>
      <c r="S359" s="128" t="str">
        <f t="shared" si="47"/>
        <v/>
      </c>
      <c r="T359" s="47" t="str">
        <f t="shared" si="40"/>
        <v>OK!</v>
      </c>
    </row>
    <row r="360" spans="2:20" ht="16.5" x14ac:dyDescent="0.3">
      <c r="B360" s="129" t="s">
        <v>2809</v>
      </c>
      <c r="C360" s="128">
        <v>7.8</v>
      </c>
      <c r="D360" s="128">
        <v>12.59</v>
      </c>
      <c r="E360" s="128">
        <v>3.17</v>
      </c>
      <c r="F360" s="148" t="s">
        <v>2916</v>
      </c>
      <c r="G360" s="128">
        <f t="shared" si="41"/>
        <v>7.8</v>
      </c>
      <c r="H360" s="128"/>
      <c r="I360" s="128" t="str">
        <f t="shared" si="42"/>
        <v/>
      </c>
      <c r="J360" s="128"/>
      <c r="K360" s="128" t="str">
        <f t="shared" si="43"/>
        <v/>
      </c>
      <c r="L360" s="128"/>
      <c r="M360" s="128" t="str">
        <f t="shared" si="44"/>
        <v/>
      </c>
      <c r="N360" s="148"/>
      <c r="O360" s="128" t="str">
        <f t="shared" si="45"/>
        <v/>
      </c>
      <c r="P360" s="148"/>
      <c r="Q360" s="128" t="str">
        <f t="shared" si="46"/>
        <v/>
      </c>
      <c r="R360" s="148"/>
      <c r="S360" s="128" t="str">
        <f t="shared" si="47"/>
        <v/>
      </c>
      <c r="T360" s="47" t="str">
        <f t="shared" si="40"/>
        <v>OK!</v>
      </c>
    </row>
    <row r="361" spans="2:20" ht="16.5" x14ac:dyDescent="0.3">
      <c r="B361" s="129" t="s">
        <v>2810</v>
      </c>
      <c r="C361" s="128">
        <v>8.6300000000000008</v>
      </c>
      <c r="D361" s="128">
        <v>15.88</v>
      </c>
      <c r="E361" s="128">
        <f>1.3+3.17+3.17</f>
        <v>7.64</v>
      </c>
      <c r="F361" s="148" t="s">
        <v>2916</v>
      </c>
      <c r="G361" s="128">
        <f t="shared" si="41"/>
        <v>8.6300000000000008</v>
      </c>
      <c r="H361" s="128"/>
      <c r="I361" s="128" t="str">
        <f t="shared" si="42"/>
        <v/>
      </c>
      <c r="J361" s="128"/>
      <c r="K361" s="128" t="str">
        <f t="shared" si="43"/>
        <v/>
      </c>
      <c r="L361" s="128"/>
      <c r="M361" s="128" t="str">
        <f t="shared" si="44"/>
        <v/>
      </c>
      <c r="N361" s="148"/>
      <c r="O361" s="128" t="str">
        <f t="shared" si="45"/>
        <v/>
      </c>
      <c r="P361" s="148"/>
      <c r="Q361" s="128" t="str">
        <f t="shared" si="46"/>
        <v/>
      </c>
      <c r="R361" s="148"/>
      <c r="S361" s="128" t="str">
        <f t="shared" si="47"/>
        <v/>
      </c>
      <c r="T361" s="47" t="str">
        <f t="shared" si="40"/>
        <v>OK!</v>
      </c>
    </row>
    <row r="362" spans="2:20" ht="16.5" x14ac:dyDescent="0.3">
      <c r="B362" s="129" t="s">
        <v>2811</v>
      </c>
      <c r="C362" s="128">
        <v>7.71</v>
      </c>
      <c r="D362" s="128">
        <v>12.07</v>
      </c>
      <c r="E362" s="128">
        <v>1.85</v>
      </c>
      <c r="F362" s="148" t="s">
        <v>2916</v>
      </c>
      <c r="G362" s="128">
        <f t="shared" si="41"/>
        <v>7.71</v>
      </c>
      <c r="H362" s="128"/>
      <c r="I362" s="128" t="str">
        <f t="shared" si="42"/>
        <v/>
      </c>
      <c r="J362" s="128"/>
      <c r="K362" s="128" t="str">
        <f t="shared" si="43"/>
        <v/>
      </c>
      <c r="L362" s="128"/>
      <c r="M362" s="128" t="str">
        <f t="shared" si="44"/>
        <v/>
      </c>
      <c r="N362" s="148"/>
      <c r="O362" s="128" t="str">
        <f t="shared" si="45"/>
        <v/>
      </c>
      <c r="P362" s="148"/>
      <c r="Q362" s="128" t="str">
        <f t="shared" si="46"/>
        <v/>
      </c>
      <c r="R362" s="148"/>
      <c r="S362" s="128" t="str">
        <f t="shared" si="47"/>
        <v/>
      </c>
      <c r="T362" s="47" t="str">
        <f t="shared" si="40"/>
        <v>OK!</v>
      </c>
    </row>
    <row r="363" spans="2:20" ht="16.5" x14ac:dyDescent="0.3">
      <c r="B363" s="129" t="s">
        <v>2812</v>
      </c>
      <c r="C363" s="128">
        <v>8.64</v>
      </c>
      <c r="D363" s="128">
        <v>13</v>
      </c>
      <c r="E363" s="128">
        <v>1.87</v>
      </c>
      <c r="F363" s="148" t="s">
        <v>2916</v>
      </c>
      <c r="G363" s="128">
        <f t="shared" si="41"/>
        <v>8.64</v>
      </c>
      <c r="H363" s="128"/>
      <c r="I363" s="128" t="str">
        <f t="shared" si="42"/>
        <v/>
      </c>
      <c r="J363" s="128"/>
      <c r="K363" s="128" t="str">
        <f t="shared" si="43"/>
        <v/>
      </c>
      <c r="L363" s="128"/>
      <c r="M363" s="128" t="str">
        <f t="shared" si="44"/>
        <v/>
      </c>
      <c r="N363" s="148"/>
      <c r="O363" s="128" t="str">
        <f t="shared" si="45"/>
        <v/>
      </c>
      <c r="P363" s="148"/>
      <c r="Q363" s="128" t="str">
        <f t="shared" si="46"/>
        <v/>
      </c>
      <c r="R363" s="148"/>
      <c r="S363" s="128" t="str">
        <f t="shared" si="47"/>
        <v/>
      </c>
      <c r="T363" s="47" t="str">
        <f t="shared" si="40"/>
        <v>OK!</v>
      </c>
    </row>
    <row r="364" spans="2:20" ht="16.5" x14ac:dyDescent="0.3">
      <c r="B364" s="129" t="s">
        <v>2813</v>
      </c>
      <c r="C364" s="128">
        <v>11.9</v>
      </c>
      <c r="D364" s="128">
        <v>16.5</v>
      </c>
      <c r="E364" s="128">
        <v>1.3</v>
      </c>
      <c r="F364" s="148" t="s">
        <v>2916</v>
      </c>
      <c r="G364" s="128">
        <f t="shared" si="41"/>
        <v>11.9</v>
      </c>
      <c r="H364" s="128"/>
      <c r="I364" s="128" t="str">
        <f t="shared" si="42"/>
        <v/>
      </c>
      <c r="J364" s="128"/>
      <c r="K364" s="128" t="str">
        <f t="shared" si="43"/>
        <v/>
      </c>
      <c r="L364" s="128"/>
      <c r="M364" s="128" t="str">
        <f t="shared" si="44"/>
        <v/>
      </c>
      <c r="N364" s="148"/>
      <c r="O364" s="128" t="str">
        <f t="shared" si="45"/>
        <v/>
      </c>
      <c r="P364" s="148"/>
      <c r="Q364" s="128" t="str">
        <f t="shared" si="46"/>
        <v/>
      </c>
      <c r="R364" s="148"/>
      <c r="S364" s="128" t="str">
        <f t="shared" si="47"/>
        <v/>
      </c>
      <c r="T364" s="47" t="str">
        <f t="shared" si="40"/>
        <v>OK!</v>
      </c>
    </row>
    <row r="365" spans="2:20" ht="16.5" x14ac:dyDescent="0.3">
      <c r="B365" s="129" t="s">
        <v>2814</v>
      </c>
      <c r="C365" s="128">
        <v>5.39</v>
      </c>
      <c r="D365" s="128">
        <v>10.9</v>
      </c>
      <c r="E365" s="128">
        <f>SUM(E362:E364)+1.3</f>
        <v>6.32</v>
      </c>
      <c r="F365" s="148" t="s">
        <v>2916</v>
      </c>
      <c r="G365" s="128">
        <f t="shared" si="41"/>
        <v>5.39</v>
      </c>
      <c r="H365" s="128"/>
      <c r="I365" s="128" t="str">
        <f t="shared" si="42"/>
        <v/>
      </c>
      <c r="J365" s="128"/>
      <c r="K365" s="128" t="str">
        <f t="shared" si="43"/>
        <v/>
      </c>
      <c r="L365" s="128"/>
      <c r="M365" s="128" t="str">
        <f t="shared" si="44"/>
        <v/>
      </c>
      <c r="N365" s="148"/>
      <c r="O365" s="128" t="str">
        <f t="shared" si="45"/>
        <v/>
      </c>
      <c r="P365" s="148"/>
      <c r="Q365" s="128" t="str">
        <f t="shared" si="46"/>
        <v/>
      </c>
      <c r="R365" s="148"/>
      <c r="S365" s="128" t="str">
        <f t="shared" si="47"/>
        <v/>
      </c>
      <c r="T365" s="47" t="str">
        <f t="shared" si="40"/>
        <v>OK!</v>
      </c>
    </row>
    <row r="366" spans="2:20" ht="16.5" x14ac:dyDescent="0.3">
      <c r="B366" s="129" t="s">
        <v>2815</v>
      </c>
      <c r="C366" s="128">
        <v>13.66</v>
      </c>
      <c r="D366" s="128">
        <v>16.260000000000002</v>
      </c>
      <c r="E366" s="128"/>
      <c r="F366" s="148" t="s">
        <v>2916</v>
      </c>
      <c r="G366" s="128">
        <f t="shared" si="41"/>
        <v>13.66</v>
      </c>
      <c r="H366" s="128"/>
      <c r="I366" s="128" t="str">
        <f t="shared" si="42"/>
        <v/>
      </c>
      <c r="J366" s="128"/>
      <c r="K366" s="128" t="str">
        <f t="shared" si="43"/>
        <v/>
      </c>
      <c r="L366" s="128"/>
      <c r="M366" s="128" t="str">
        <f t="shared" si="44"/>
        <v/>
      </c>
      <c r="N366" s="148"/>
      <c r="O366" s="128" t="str">
        <f t="shared" si="45"/>
        <v/>
      </c>
      <c r="P366" s="148"/>
      <c r="Q366" s="128" t="str">
        <f t="shared" si="46"/>
        <v/>
      </c>
      <c r="R366" s="148"/>
      <c r="S366" s="128" t="str">
        <f t="shared" si="47"/>
        <v/>
      </c>
      <c r="T366" s="47" t="str">
        <f t="shared" si="40"/>
        <v>OK!</v>
      </c>
    </row>
    <row r="367" spans="2:20" ht="16.5" x14ac:dyDescent="0.3">
      <c r="B367" s="129" t="s">
        <v>2591</v>
      </c>
      <c r="C367" s="128">
        <v>2.9</v>
      </c>
      <c r="D367" s="128">
        <v>8.2200000000000006</v>
      </c>
      <c r="E367" s="128"/>
      <c r="F367" s="148" t="s">
        <v>2916</v>
      </c>
      <c r="G367" s="128">
        <f t="shared" si="41"/>
        <v>2.9</v>
      </c>
      <c r="H367" s="128"/>
      <c r="I367" s="128" t="str">
        <f t="shared" si="42"/>
        <v/>
      </c>
      <c r="J367" s="128"/>
      <c r="K367" s="128" t="str">
        <f t="shared" si="43"/>
        <v/>
      </c>
      <c r="L367" s="128"/>
      <c r="M367" s="128" t="str">
        <f t="shared" si="44"/>
        <v/>
      </c>
      <c r="N367" s="148"/>
      <c r="O367" s="128" t="str">
        <f t="shared" si="45"/>
        <v/>
      </c>
      <c r="P367" s="148"/>
      <c r="Q367" s="128" t="str">
        <f t="shared" si="46"/>
        <v/>
      </c>
      <c r="R367" s="148"/>
      <c r="S367" s="128" t="str">
        <f t="shared" si="47"/>
        <v/>
      </c>
      <c r="T367" s="47" t="str">
        <f t="shared" si="40"/>
        <v>OK!</v>
      </c>
    </row>
    <row r="368" spans="2:20" ht="16.5" x14ac:dyDescent="0.3">
      <c r="B368" s="129" t="s">
        <v>2816</v>
      </c>
      <c r="C368" s="128">
        <v>8.08</v>
      </c>
      <c r="D368" s="128">
        <v>11.69</v>
      </c>
      <c r="E368" s="128"/>
      <c r="F368" s="148" t="s">
        <v>2916</v>
      </c>
      <c r="G368" s="128">
        <f t="shared" si="41"/>
        <v>8.08</v>
      </c>
      <c r="H368" s="128"/>
      <c r="I368" s="128" t="str">
        <f t="shared" si="42"/>
        <v/>
      </c>
      <c r="J368" s="128"/>
      <c r="K368" s="128" t="str">
        <f t="shared" si="43"/>
        <v/>
      </c>
      <c r="L368" s="128"/>
      <c r="M368" s="128" t="str">
        <f t="shared" si="44"/>
        <v/>
      </c>
      <c r="N368" s="148"/>
      <c r="O368" s="128" t="str">
        <f t="shared" si="45"/>
        <v/>
      </c>
      <c r="P368" s="148"/>
      <c r="Q368" s="128" t="str">
        <f t="shared" si="46"/>
        <v/>
      </c>
      <c r="R368" s="148"/>
      <c r="S368" s="128" t="str">
        <f t="shared" si="47"/>
        <v/>
      </c>
      <c r="T368" s="47" t="str">
        <f t="shared" si="40"/>
        <v>OK!</v>
      </c>
    </row>
    <row r="369" spans="2:20" ht="16.5" x14ac:dyDescent="0.3">
      <c r="B369" s="129" t="s">
        <v>2817</v>
      </c>
      <c r="C369" s="128">
        <v>8.07</v>
      </c>
      <c r="D369" s="128">
        <v>11.68</v>
      </c>
      <c r="E369" s="128"/>
      <c r="F369" s="148" t="s">
        <v>2916</v>
      </c>
      <c r="G369" s="128">
        <f t="shared" si="41"/>
        <v>8.07</v>
      </c>
      <c r="H369" s="128"/>
      <c r="I369" s="128" t="str">
        <f t="shared" si="42"/>
        <v/>
      </c>
      <c r="J369" s="128"/>
      <c r="K369" s="128" t="str">
        <f t="shared" si="43"/>
        <v/>
      </c>
      <c r="L369" s="128"/>
      <c r="M369" s="128" t="str">
        <f t="shared" si="44"/>
        <v/>
      </c>
      <c r="N369" s="148"/>
      <c r="O369" s="128" t="str">
        <f t="shared" si="45"/>
        <v/>
      </c>
      <c r="P369" s="148"/>
      <c r="Q369" s="128" t="str">
        <f t="shared" si="46"/>
        <v/>
      </c>
      <c r="R369" s="148"/>
      <c r="S369" s="128" t="str">
        <f t="shared" si="47"/>
        <v/>
      </c>
      <c r="T369" s="47" t="str">
        <f t="shared" si="40"/>
        <v>OK!</v>
      </c>
    </row>
    <row r="370" spans="2:20" ht="16.5" x14ac:dyDescent="0.3">
      <c r="B370" s="129" t="s">
        <v>2818</v>
      </c>
      <c r="C370" s="128">
        <v>34.75</v>
      </c>
      <c r="D370" s="128">
        <v>26.76</v>
      </c>
      <c r="E370" s="128"/>
      <c r="F370" s="148" t="s">
        <v>2916</v>
      </c>
      <c r="G370" s="128">
        <f t="shared" si="41"/>
        <v>34.75</v>
      </c>
      <c r="H370" s="128"/>
      <c r="I370" s="128" t="str">
        <f t="shared" si="42"/>
        <v/>
      </c>
      <c r="J370" s="128"/>
      <c r="K370" s="128" t="str">
        <f t="shared" si="43"/>
        <v/>
      </c>
      <c r="L370" s="128"/>
      <c r="M370" s="128" t="str">
        <f t="shared" si="44"/>
        <v/>
      </c>
      <c r="N370" s="148"/>
      <c r="O370" s="128" t="str">
        <f t="shared" si="45"/>
        <v/>
      </c>
      <c r="P370" s="148"/>
      <c r="Q370" s="128" t="str">
        <f t="shared" si="46"/>
        <v/>
      </c>
      <c r="R370" s="148"/>
      <c r="S370" s="128" t="str">
        <f t="shared" si="47"/>
        <v/>
      </c>
      <c r="T370" s="47" t="str">
        <f t="shared" si="40"/>
        <v>OK!</v>
      </c>
    </row>
    <row r="371" spans="2:20" ht="16.5" x14ac:dyDescent="0.3">
      <c r="B371" s="129" t="s">
        <v>2682</v>
      </c>
      <c r="C371" s="128">
        <v>12.59</v>
      </c>
      <c r="D371" s="128">
        <v>14.73</v>
      </c>
      <c r="E371" s="128"/>
      <c r="F371" s="148" t="s">
        <v>2916</v>
      </c>
      <c r="G371" s="128">
        <f t="shared" si="41"/>
        <v>12.59</v>
      </c>
      <c r="H371" s="128"/>
      <c r="I371" s="128" t="str">
        <f t="shared" si="42"/>
        <v/>
      </c>
      <c r="J371" s="128"/>
      <c r="K371" s="128" t="str">
        <f t="shared" si="43"/>
        <v/>
      </c>
      <c r="L371" s="128"/>
      <c r="M371" s="128" t="str">
        <f t="shared" si="44"/>
        <v/>
      </c>
      <c r="N371" s="148"/>
      <c r="O371" s="128" t="str">
        <f t="shared" si="45"/>
        <v/>
      </c>
      <c r="P371" s="148"/>
      <c r="Q371" s="128" t="str">
        <f t="shared" si="46"/>
        <v/>
      </c>
      <c r="R371" s="148"/>
      <c r="S371" s="128" t="str">
        <f t="shared" si="47"/>
        <v/>
      </c>
      <c r="T371" s="47" t="str">
        <f t="shared" si="40"/>
        <v>OK!</v>
      </c>
    </row>
    <row r="372" spans="2:20" ht="16.5" x14ac:dyDescent="0.3">
      <c r="B372" s="129" t="s">
        <v>2819</v>
      </c>
      <c r="C372" s="128">
        <v>2.2200000000000002</v>
      </c>
      <c r="D372" s="128">
        <v>6.6</v>
      </c>
      <c r="E372" s="128"/>
      <c r="F372" s="148" t="s">
        <v>2916</v>
      </c>
      <c r="G372" s="128">
        <f t="shared" si="41"/>
        <v>2.2200000000000002</v>
      </c>
      <c r="H372" s="128"/>
      <c r="I372" s="128" t="str">
        <f t="shared" si="42"/>
        <v/>
      </c>
      <c r="J372" s="128"/>
      <c r="K372" s="128" t="str">
        <f t="shared" si="43"/>
        <v/>
      </c>
      <c r="L372" s="128"/>
      <c r="M372" s="128" t="str">
        <f t="shared" si="44"/>
        <v/>
      </c>
      <c r="N372" s="148"/>
      <c r="O372" s="128" t="str">
        <f t="shared" si="45"/>
        <v/>
      </c>
      <c r="P372" s="148"/>
      <c r="Q372" s="128" t="str">
        <f t="shared" si="46"/>
        <v/>
      </c>
      <c r="R372" s="148"/>
      <c r="S372" s="128" t="str">
        <f t="shared" si="47"/>
        <v/>
      </c>
      <c r="T372" s="47" t="str">
        <f t="shared" si="40"/>
        <v>OK!</v>
      </c>
    </row>
    <row r="373" spans="2:20" ht="16.5" x14ac:dyDescent="0.3">
      <c r="B373" s="149" t="s">
        <v>2594</v>
      </c>
      <c r="C373" s="150">
        <v>27.91</v>
      </c>
      <c r="D373" s="150">
        <v>36.57</v>
      </c>
      <c r="E373" s="150"/>
      <c r="F373" s="148" t="s">
        <v>2916</v>
      </c>
      <c r="G373" s="128">
        <f t="shared" si="41"/>
        <v>27.91</v>
      </c>
      <c r="H373" s="128"/>
      <c r="I373" s="128" t="str">
        <f t="shared" si="42"/>
        <v/>
      </c>
      <c r="J373" s="128"/>
      <c r="K373" s="128" t="str">
        <f t="shared" si="43"/>
        <v/>
      </c>
      <c r="L373" s="128"/>
      <c r="M373" s="128" t="str">
        <f t="shared" si="44"/>
        <v/>
      </c>
      <c r="N373" s="148"/>
      <c r="O373" s="128" t="str">
        <f t="shared" si="45"/>
        <v/>
      </c>
      <c r="P373" s="148"/>
      <c r="Q373" s="128" t="str">
        <f t="shared" si="46"/>
        <v/>
      </c>
      <c r="R373" s="148"/>
      <c r="S373" s="128" t="str">
        <f t="shared" si="47"/>
        <v/>
      </c>
      <c r="T373" s="47" t="str">
        <f t="shared" si="40"/>
        <v>OK!</v>
      </c>
    </row>
    <row r="374" spans="2:20" ht="16.5" x14ac:dyDescent="0.3">
      <c r="B374" s="149"/>
      <c r="C374" s="150"/>
      <c r="D374" s="150"/>
      <c r="E374" s="150"/>
      <c r="F374" s="148"/>
      <c r="G374" s="128"/>
      <c r="H374" s="128"/>
      <c r="I374" s="128" t="str">
        <f t="shared" si="42"/>
        <v/>
      </c>
      <c r="J374" s="128"/>
      <c r="K374" s="128" t="str">
        <f t="shared" si="43"/>
        <v/>
      </c>
      <c r="L374" s="128"/>
      <c r="M374" s="128" t="str">
        <f t="shared" si="44"/>
        <v/>
      </c>
      <c r="N374" s="148"/>
      <c r="O374" s="128" t="str">
        <f t="shared" si="45"/>
        <v/>
      </c>
      <c r="P374" s="148"/>
      <c r="Q374" s="128" t="str">
        <f t="shared" si="46"/>
        <v/>
      </c>
      <c r="R374" s="148"/>
      <c r="S374" s="128" t="str">
        <f t="shared" si="47"/>
        <v/>
      </c>
      <c r="T374" s="47" t="str">
        <f t="shared" si="40"/>
        <v>OK!</v>
      </c>
    </row>
    <row r="375" spans="2:20" ht="16.5" x14ac:dyDescent="0.3">
      <c r="B375" s="134" t="s">
        <v>2820</v>
      </c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47" t="str">
        <f t="shared" si="40"/>
        <v>OK!</v>
      </c>
    </row>
    <row r="376" spans="2:20" ht="16.5" x14ac:dyDescent="0.3">
      <c r="B376" s="136" t="s">
        <v>2821</v>
      </c>
      <c r="C376" s="128"/>
      <c r="D376" s="128"/>
      <c r="E376" s="128"/>
      <c r="F376" s="148"/>
      <c r="G376" s="128"/>
      <c r="H376" s="128"/>
      <c r="I376" s="128" t="str">
        <f t="shared" si="42"/>
        <v/>
      </c>
      <c r="J376" s="128"/>
      <c r="K376" s="128" t="str">
        <f t="shared" si="43"/>
        <v/>
      </c>
      <c r="L376" s="128"/>
      <c r="M376" s="128" t="str">
        <f t="shared" si="44"/>
        <v/>
      </c>
      <c r="N376" s="148"/>
      <c r="O376" s="128" t="str">
        <f t="shared" si="45"/>
        <v/>
      </c>
      <c r="P376" s="148"/>
      <c r="Q376" s="128" t="str">
        <f t="shared" si="46"/>
        <v/>
      </c>
      <c r="R376" s="148"/>
      <c r="S376" s="128" t="str">
        <f t="shared" si="47"/>
        <v/>
      </c>
      <c r="T376" s="47" t="str">
        <f t="shared" si="40"/>
        <v>OK!</v>
      </c>
    </row>
    <row r="377" spans="2:20" ht="16.5" x14ac:dyDescent="0.3">
      <c r="B377" s="129" t="s">
        <v>2642</v>
      </c>
      <c r="C377" s="128">
        <v>27.69</v>
      </c>
      <c r="D377" s="128">
        <v>21.92</v>
      </c>
      <c r="E377" s="128"/>
      <c r="F377" s="148" t="s">
        <v>2916</v>
      </c>
      <c r="G377" s="128">
        <f t="shared" si="41"/>
        <v>27.69</v>
      </c>
      <c r="H377" s="128"/>
      <c r="I377" s="128" t="str">
        <f t="shared" si="42"/>
        <v/>
      </c>
      <c r="J377" s="128"/>
      <c r="K377" s="128" t="str">
        <f t="shared" si="43"/>
        <v/>
      </c>
      <c r="L377" s="128"/>
      <c r="M377" s="128" t="str">
        <f t="shared" si="44"/>
        <v/>
      </c>
      <c r="N377" s="148"/>
      <c r="O377" s="128" t="str">
        <f t="shared" si="45"/>
        <v/>
      </c>
      <c r="P377" s="148"/>
      <c r="Q377" s="128" t="str">
        <f t="shared" si="46"/>
        <v/>
      </c>
      <c r="R377" s="148"/>
      <c r="S377" s="128" t="str">
        <f t="shared" si="47"/>
        <v/>
      </c>
      <c r="T377" s="47" t="str">
        <f t="shared" si="40"/>
        <v>OK!</v>
      </c>
    </row>
    <row r="378" spans="2:20" ht="16.5" x14ac:dyDescent="0.3">
      <c r="B378" s="129" t="s">
        <v>2643</v>
      </c>
      <c r="C378" s="128">
        <v>5.18</v>
      </c>
      <c r="D378" s="128">
        <v>9.99</v>
      </c>
      <c r="E378" s="128"/>
      <c r="F378" s="148" t="s">
        <v>2916</v>
      </c>
      <c r="G378" s="128">
        <f t="shared" si="41"/>
        <v>5.18</v>
      </c>
      <c r="H378" s="128"/>
      <c r="I378" s="128" t="str">
        <f t="shared" si="42"/>
        <v/>
      </c>
      <c r="J378" s="128"/>
      <c r="K378" s="128" t="str">
        <f t="shared" si="43"/>
        <v/>
      </c>
      <c r="L378" s="128"/>
      <c r="M378" s="128" t="str">
        <f t="shared" si="44"/>
        <v/>
      </c>
      <c r="N378" s="148"/>
      <c r="O378" s="128" t="str">
        <f t="shared" si="45"/>
        <v/>
      </c>
      <c r="P378" s="148"/>
      <c r="Q378" s="128" t="str">
        <f t="shared" si="46"/>
        <v/>
      </c>
      <c r="R378" s="148"/>
      <c r="S378" s="128" t="str">
        <f t="shared" si="47"/>
        <v/>
      </c>
      <c r="T378" s="47" t="str">
        <f t="shared" si="40"/>
        <v>OK!</v>
      </c>
    </row>
    <row r="379" spans="2:20" ht="16.5" x14ac:dyDescent="0.3">
      <c r="B379" s="129" t="s">
        <v>2644</v>
      </c>
      <c r="C379" s="128">
        <v>27.26</v>
      </c>
      <c r="D379" s="128">
        <v>21.74</v>
      </c>
      <c r="E379" s="128"/>
      <c r="F379" s="148" t="s">
        <v>2916</v>
      </c>
      <c r="G379" s="128">
        <f t="shared" si="41"/>
        <v>27.26</v>
      </c>
      <c r="H379" s="128"/>
      <c r="I379" s="128" t="str">
        <f t="shared" si="42"/>
        <v/>
      </c>
      <c r="J379" s="128"/>
      <c r="K379" s="128" t="str">
        <f t="shared" si="43"/>
        <v/>
      </c>
      <c r="L379" s="128"/>
      <c r="M379" s="128" t="str">
        <f t="shared" si="44"/>
        <v/>
      </c>
      <c r="N379" s="148"/>
      <c r="O379" s="128" t="str">
        <f t="shared" si="45"/>
        <v/>
      </c>
      <c r="P379" s="148"/>
      <c r="Q379" s="128" t="str">
        <f t="shared" si="46"/>
        <v/>
      </c>
      <c r="R379" s="148"/>
      <c r="S379" s="128" t="str">
        <f t="shared" si="47"/>
        <v/>
      </c>
      <c r="T379" s="47" t="str">
        <f t="shared" si="40"/>
        <v>OK!</v>
      </c>
    </row>
    <row r="380" spans="2:20" ht="16.5" x14ac:dyDescent="0.3">
      <c r="B380" s="129" t="s">
        <v>2645</v>
      </c>
      <c r="C380" s="128">
        <v>5.18</v>
      </c>
      <c r="D380" s="128">
        <v>9.99</v>
      </c>
      <c r="E380" s="128"/>
      <c r="F380" s="148" t="s">
        <v>2916</v>
      </c>
      <c r="G380" s="128">
        <f t="shared" si="41"/>
        <v>5.18</v>
      </c>
      <c r="H380" s="128"/>
      <c r="I380" s="128" t="str">
        <f t="shared" si="42"/>
        <v/>
      </c>
      <c r="J380" s="128"/>
      <c r="K380" s="128" t="str">
        <f t="shared" si="43"/>
        <v/>
      </c>
      <c r="L380" s="128"/>
      <c r="M380" s="128" t="str">
        <f t="shared" si="44"/>
        <v/>
      </c>
      <c r="N380" s="148"/>
      <c r="O380" s="128" t="str">
        <f t="shared" si="45"/>
        <v/>
      </c>
      <c r="P380" s="148"/>
      <c r="Q380" s="128" t="str">
        <f t="shared" si="46"/>
        <v/>
      </c>
      <c r="R380" s="148"/>
      <c r="S380" s="128" t="str">
        <f t="shared" si="47"/>
        <v/>
      </c>
      <c r="T380" s="47" t="str">
        <f t="shared" si="40"/>
        <v>OK!</v>
      </c>
    </row>
    <row r="381" spans="2:20" ht="16.5" x14ac:dyDescent="0.3">
      <c r="B381" s="129" t="s">
        <v>2646</v>
      </c>
      <c r="C381" s="128">
        <v>27.26</v>
      </c>
      <c r="D381" s="128">
        <v>21.74</v>
      </c>
      <c r="E381" s="128"/>
      <c r="F381" s="148" t="s">
        <v>2916</v>
      </c>
      <c r="G381" s="128">
        <f t="shared" si="41"/>
        <v>27.26</v>
      </c>
      <c r="H381" s="128"/>
      <c r="I381" s="128" t="str">
        <f t="shared" si="42"/>
        <v/>
      </c>
      <c r="J381" s="128"/>
      <c r="K381" s="128" t="str">
        <f t="shared" si="43"/>
        <v/>
      </c>
      <c r="L381" s="128"/>
      <c r="M381" s="128" t="str">
        <f t="shared" si="44"/>
        <v/>
      </c>
      <c r="N381" s="148"/>
      <c r="O381" s="128" t="str">
        <f t="shared" si="45"/>
        <v/>
      </c>
      <c r="P381" s="148"/>
      <c r="Q381" s="128" t="str">
        <f t="shared" si="46"/>
        <v/>
      </c>
      <c r="R381" s="148"/>
      <c r="S381" s="128" t="str">
        <f t="shared" si="47"/>
        <v/>
      </c>
      <c r="T381" s="47" t="str">
        <f t="shared" si="40"/>
        <v>OK!</v>
      </c>
    </row>
    <row r="382" spans="2:20" ht="16.5" x14ac:dyDescent="0.3">
      <c r="B382" s="129" t="s">
        <v>2647</v>
      </c>
      <c r="C382" s="128">
        <v>5.18</v>
      </c>
      <c r="D382" s="128">
        <v>9.99</v>
      </c>
      <c r="E382" s="128"/>
      <c r="F382" s="148" t="s">
        <v>2916</v>
      </c>
      <c r="G382" s="128">
        <f t="shared" si="41"/>
        <v>5.18</v>
      </c>
      <c r="H382" s="128"/>
      <c r="I382" s="128" t="str">
        <f t="shared" si="42"/>
        <v/>
      </c>
      <c r="J382" s="128"/>
      <c r="K382" s="128" t="str">
        <f t="shared" si="43"/>
        <v/>
      </c>
      <c r="L382" s="128"/>
      <c r="M382" s="128" t="str">
        <f t="shared" si="44"/>
        <v/>
      </c>
      <c r="N382" s="148"/>
      <c r="O382" s="128" t="str">
        <f t="shared" si="45"/>
        <v/>
      </c>
      <c r="P382" s="148"/>
      <c r="Q382" s="128" t="str">
        <f t="shared" si="46"/>
        <v/>
      </c>
      <c r="R382" s="148"/>
      <c r="S382" s="128" t="str">
        <f t="shared" si="47"/>
        <v/>
      </c>
      <c r="T382" s="47" t="str">
        <f t="shared" si="40"/>
        <v>OK!</v>
      </c>
    </row>
    <row r="383" spans="2:20" ht="16.5" x14ac:dyDescent="0.3">
      <c r="B383" s="129" t="s">
        <v>2648</v>
      </c>
      <c r="C383" s="128">
        <v>27.12</v>
      </c>
      <c r="D383" s="128">
        <v>21.68</v>
      </c>
      <c r="E383" s="128"/>
      <c r="F383" s="148" t="s">
        <v>2916</v>
      </c>
      <c r="G383" s="128">
        <f t="shared" si="41"/>
        <v>27.12</v>
      </c>
      <c r="H383" s="128"/>
      <c r="I383" s="128" t="str">
        <f t="shared" si="42"/>
        <v/>
      </c>
      <c r="J383" s="128"/>
      <c r="K383" s="128" t="str">
        <f t="shared" si="43"/>
        <v/>
      </c>
      <c r="L383" s="128"/>
      <c r="M383" s="128" t="str">
        <f t="shared" si="44"/>
        <v/>
      </c>
      <c r="N383" s="148"/>
      <c r="O383" s="128" t="str">
        <f t="shared" si="45"/>
        <v/>
      </c>
      <c r="P383" s="148"/>
      <c r="Q383" s="128" t="str">
        <f t="shared" si="46"/>
        <v/>
      </c>
      <c r="R383" s="148"/>
      <c r="S383" s="128" t="str">
        <f t="shared" si="47"/>
        <v/>
      </c>
      <c r="T383" s="47" t="str">
        <f t="shared" si="40"/>
        <v>OK!</v>
      </c>
    </row>
    <row r="384" spans="2:20" ht="16.5" x14ac:dyDescent="0.3">
      <c r="B384" s="129" t="s">
        <v>2649</v>
      </c>
      <c r="C384" s="128">
        <v>5.18</v>
      </c>
      <c r="D384" s="128">
        <v>9.99</v>
      </c>
      <c r="E384" s="128"/>
      <c r="F384" s="148" t="s">
        <v>2916</v>
      </c>
      <c r="G384" s="128">
        <f t="shared" si="41"/>
        <v>5.18</v>
      </c>
      <c r="H384" s="128"/>
      <c r="I384" s="128" t="str">
        <f t="shared" si="42"/>
        <v/>
      </c>
      <c r="J384" s="128"/>
      <c r="K384" s="128" t="str">
        <f t="shared" si="43"/>
        <v/>
      </c>
      <c r="L384" s="128"/>
      <c r="M384" s="128" t="str">
        <f t="shared" si="44"/>
        <v/>
      </c>
      <c r="N384" s="148"/>
      <c r="O384" s="128" t="str">
        <f t="shared" si="45"/>
        <v/>
      </c>
      <c r="P384" s="148"/>
      <c r="Q384" s="128" t="str">
        <f t="shared" si="46"/>
        <v/>
      </c>
      <c r="R384" s="148"/>
      <c r="S384" s="128" t="str">
        <f t="shared" si="47"/>
        <v/>
      </c>
      <c r="T384" s="47" t="str">
        <f t="shared" si="40"/>
        <v>OK!</v>
      </c>
    </row>
    <row r="385" spans="2:20" ht="16.5" x14ac:dyDescent="0.3">
      <c r="B385" s="129" t="s">
        <v>2651</v>
      </c>
      <c r="C385" s="128">
        <v>27.17</v>
      </c>
      <c r="D385" s="128">
        <v>21.67</v>
      </c>
      <c r="E385" s="128"/>
      <c r="F385" s="148" t="s">
        <v>2916</v>
      </c>
      <c r="G385" s="128">
        <f t="shared" si="41"/>
        <v>27.17</v>
      </c>
      <c r="H385" s="128"/>
      <c r="I385" s="128" t="str">
        <f t="shared" si="42"/>
        <v/>
      </c>
      <c r="J385" s="128"/>
      <c r="K385" s="128" t="str">
        <f t="shared" si="43"/>
        <v/>
      </c>
      <c r="L385" s="128"/>
      <c r="M385" s="128" t="str">
        <f t="shared" si="44"/>
        <v/>
      </c>
      <c r="N385" s="148"/>
      <c r="O385" s="128" t="str">
        <f t="shared" si="45"/>
        <v/>
      </c>
      <c r="P385" s="148"/>
      <c r="Q385" s="128" t="str">
        <f t="shared" si="46"/>
        <v/>
      </c>
      <c r="R385" s="148"/>
      <c r="S385" s="128" t="str">
        <f t="shared" si="47"/>
        <v/>
      </c>
      <c r="T385" s="47" t="str">
        <f t="shared" si="40"/>
        <v>OK!</v>
      </c>
    </row>
    <row r="386" spans="2:20" ht="16.5" x14ac:dyDescent="0.3">
      <c r="B386" s="129" t="s">
        <v>2652</v>
      </c>
      <c r="C386" s="128">
        <v>5.18</v>
      </c>
      <c r="D386" s="128">
        <v>9.99</v>
      </c>
      <c r="E386" s="128"/>
      <c r="F386" s="148" t="s">
        <v>2916</v>
      </c>
      <c r="G386" s="128">
        <f t="shared" si="41"/>
        <v>5.18</v>
      </c>
      <c r="H386" s="128"/>
      <c r="I386" s="128" t="str">
        <f t="shared" si="42"/>
        <v/>
      </c>
      <c r="J386" s="128"/>
      <c r="K386" s="128" t="str">
        <f t="shared" si="43"/>
        <v/>
      </c>
      <c r="L386" s="128"/>
      <c r="M386" s="128" t="str">
        <f t="shared" si="44"/>
        <v/>
      </c>
      <c r="N386" s="148"/>
      <c r="O386" s="128" t="str">
        <f t="shared" si="45"/>
        <v/>
      </c>
      <c r="P386" s="148"/>
      <c r="Q386" s="128" t="str">
        <f t="shared" si="46"/>
        <v/>
      </c>
      <c r="R386" s="148"/>
      <c r="S386" s="128" t="str">
        <f t="shared" si="47"/>
        <v/>
      </c>
      <c r="T386" s="47" t="str">
        <f t="shared" si="40"/>
        <v>OK!</v>
      </c>
    </row>
    <row r="387" spans="2:20" ht="16.5" x14ac:dyDescent="0.3">
      <c r="B387" s="129" t="s">
        <v>2594</v>
      </c>
      <c r="C387" s="128">
        <v>78.13</v>
      </c>
      <c r="D387" s="128">
        <v>76.77</v>
      </c>
      <c r="E387" s="128"/>
      <c r="F387" s="148" t="s">
        <v>2916</v>
      </c>
      <c r="G387" s="128">
        <f t="shared" si="41"/>
        <v>78.13</v>
      </c>
      <c r="H387" s="128"/>
      <c r="I387" s="128" t="str">
        <f t="shared" si="42"/>
        <v/>
      </c>
      <c r="J387" s="128"/>
      <c r="K387" s="128" t="str">
        <f t="shared" si="43"/>
        <v/>
      </c>
      <c r="L387" s="128"/>
      <c r="M387" s="128" t="str">
        <f t="shared" si="44"/>
        <v/>
      </c>
      <c r="N387" s="148"/>
      <c r="O387" s="128" t="str">
        <f t="shared" si="45"/>
        <v/>
      </c>
      <c r="P387" s="148"/>
      <c r="Q387" s="128" t="str">
        <f t="shared" si="46"/>
        <v/>
      </c>
      <c r="R387" s="148"/>
      <c r="S387" s="128" t="str">
        <f t="shared" si="47"/>
        <v/>
      </c>
      <c r="T387" s="47" t="str">
        <f t="shared" si="40"/>
        <v>OK!</v>
      </c>
    </row>
    <row r="388" spans="2:20" ht="16.5" x14ac:dyDescent="0.3">
      <c r="B388" s="129" t="s">
        <v>2657</v>
      </c>
      <c r="C388" s="128">
        <v>25.85</v>
      </c>
      <c r="D388" s="128">
        <v>21.31</v>
      </c>
      <c r="E388" s="128"/>
      <c r="F388" s="148" t="s">
        <v>2916</v>
      </c>
      <c r="G388" s="128">
        <f t="shared" si="41"/>
        <v>25.85</v>
      </c>
      <c r="H388" s="128"/>
      <c r="I388" s="128" t="str">
        <f t="shared" si="42"/>
        <v/>
      </c>
      <c r="J388" s="128"/>
      <c r="K388" s="128" t="str">
        <f t="shared" si="43"/>
        <v/>
      </c>
      <c r="L388" s="128"/>
      <c r="M388" s="128" t="str">
        <f t="shared" si="44"/>
        <v/>
      </c>
      <c r="N388" s="148"/>
      <c r="O388" s="128" t="str">
        <f t="shared" si="45"/>
        <v/>
      </c>
      <c r="P388" s="148"/>
      <c r="Q388" s="128" t="str">
        <f t="shared" si="46"/>
        <v/>
      </c>
      <c r="R388" s="148"/>
      <c r="S388" s="128" t="str">
        <f t="shared" si="47"/>
        <v/>
      </c>
      <c r="T388" s="47" t="str">
        <f t="shared" si="40"/>
        <v>OK!</v>
      </c>
    </row>
    <row r="389" spans="2:20" ht="16.5" x14ac:dyDescent="0.3">
      <c r="B389" s="129" t="s">
        <v>2658</v>
      </c>
      <c r="C389" s="128">
        <v>5.18</v>
      </c>
      <c r="D389" s="128">
        <v>9.99</v>
      </c>
      <c r="E389" s="128"/>
      <c r="F389" s="148" t="s">
        <v>2916</v>
      </c>
      <c r="G389" s="128">
        <f t="shared" si="41"/>
        <v>5.18</v>
      </c>
      <c r="H389" s="128"/>
      <c r="I389" s="128" t="str">
        <f t="shared" si="42"/>
        <v/>
      </c>
      <c r="J389" s="128"/>
      <c r="K389" s="128" t="str">
        <f t="shared" si="43"/>
        <v/>
      </c>
      <c r="L389" s="128"/>
      <c r="M389" s="128" t="str">
        <f t="shared" si="44"/>
        <v/>
      </c>
      <c r="N389" s="148"/>
      <c r="O389" s="128" t="str">
        <f t="shared" si="45"/>
        <v/>
      </c>
      <c r="P389" s="148"/>
      <c r="Q389" s="128" t="str">
        <f t="shared" si="46"/>
        <v/>
      </c>
      <c r="R389" s="148"/>
      <c r="S389" s="128" t="str">
        <f t="shared" si="47"/>
        <v/>
      </c>
      <c r="T389" s="47" t="str">
        <f t="shared" ref="T389:T452" si="48">IF(COUNT(F389:S389)&gt;1,"Corrigir!","OK!")</f>
        <v>OK!</v>
      </c>
    </row>
    <row r="390" spans="2:20" ht="16.5" x14ac:dyDescent="0.3">
      <c r="B390" s="129" t="s">
        <v>2730</v>
      </c>
      <c r="C390" s="128">
        <v>12.78</v>
      </c>
      <c r="D390" s="128">
        <v>14.76</v>
      </c>
      <c r="E390" s="128"/>
      <c r="F390" s="148" t="s">
        <v>2916</v>
      </c>
      <c r="G390" s="128">
        <f t="shared" ref="G390:G453" si="49">IF(F390="x",$C390,"")</f>
        <v>12.78</v>
      </c>
      <c r="H390" s="128"/>
      <c r="I390" s="128" t="str">
        <f t="shared" ref="I390:I453" si="50">IF(H390="x",$C390,"")</f>
        <v/>
      </c>
      <c r="J390" s="128"/>
      <c r="K390" s="128" t="str">
        <f t="shared" ref="K390:K453" si="51">IF(J390="x",$C390,"")</f>
        <v/>
      </c>
      <c r="L390" s="128"/>
      <c r="M390" s="128" t="str">
        <f t="shared" ref="M390:M453" si="52">IF(L390="x",$C390,"")</f>
        <v/>
      </c>
      <c r="N390" s="148"/>
      <c r="O390" s="128" t="str">
        <f t="shared" ref="O390:O453" si="53">IF(N390="x",$C390,"")</f>
        <v/>
      </c>
      <c r="P390" s="148"/>
      <c r="Q390" s="128" t="str">
        <f t="shared" ref="Q390:Q453" si="54">IF(P390="x",$C390,"")</f>
        <v/>
      </c>
      <c r="R390" s="148"/>
      <c r="S390" s="128" t="str">
        <f t="shared" ref="S390:S453" si="55">IF(R390="x",$C390,"")</f>
        <v/>
      </c>
      <c r="T390" s="47" t="str">
        <f t="shared" si="48"/>
        <v>OK!</v>
      </c>
    </row>
    <row r="391" spans="2:20" ht="16.5" x14ac:dyDescent="0.3">
      <c r="B391" s="129" t="s">
        <v>2666</v>
      </c>
      <c r="C391" s="128">
        <v>4.0999999999999996</v>
      </c>
      <c r="D391" s="128">
        <v>8.6999999999999993</v>
      </c>
      <c r="E391" s="128"/>
      <c r="F391" s="148" t="s">
        <v>2916</v>
      </c>
      <c r="G391" s="128">
        <f t="shared" si="49"/>
        <v>4.0999999999999996</v>
      </c>
      <c r="H391" s="128"/>
      <c r="I391" s="128" t="str">
        <f t="shared" si="50"/>
        <v/>
      </c>
      <c r="J391" s="128"/>
      <c r="K391" s="128" t="str">
        <f t="shared" si="51"/>
        <v/>
      </c>
      <c r="L391" s="128"/>
      <c r="M391" s="128" t="str">
        <f t="shared" si="52"/>
        <v/>
      </c>
      <c r="N391" s="148"/>
      <c r="O391" s="128" t="str">
        <f t="shared" si="53"/>
        <v/>
      </c>
      <c r="P391" s="148"/>
      <c r="Q391" s="128" t="str">
        <f t="shared" si="54"/>
        <v/>
      </c>
      <c r="R391" s="148"/>
      <c r="S391" s="128" t="str">
        <f t="shared" si="55"/>
        <v/>
      </c>
      <c r="T391" s="47" t="str">
        <f t="shared" si="48"/>
        <v>OK!</v>
      </c>
    </row>
    <row r="392" spans="2:20" ht="16.5" x14ac:dyDescent="0.3">
      <c r="B392" s="129" t="s">
        <v>2591</v>
      </c>
      <c r="C392" s="128">
        <v>3.14</v>
      </c>
      <c r="D392" s="128">
        <v>7.1</v>
      </c>
      <c r="E392" s="128"/>
      <c r="F392" s="148" t="s">
        <v>2916</v>
      </c>
      <c r="G392" s="128">
        <f t="shared" si="49"/>
        <v>3.14</v>
      </c>
      <c r="H392" s="128"/>
      <c r="I392" s="128" t="str">
        <f t="shared" si="50"/>
        <v/>
      </c>
      <c r="J392" s="128"/>
      <c r="K392" s="128" t="str">
        <f t="shared" si="51"/>
        <v/>
      </c>
      <c r="L392" s="128"/>
      <c r="M392" s="128" t="str">
        <f t="shared" si="52"/>
        <v/>
      </c>
      <c r="N392" s="148"/>
      <c r="O392" s="128" t="str">
        <f t="shared" si="53"/>
        <v/>
      </c>
      <c r="P392" s="148"/>
      <c r="Q392" s="128" t="str">
        <f t="shared" si="54"/>
        <v/>
      </c>
      <c r="R392" s="148"/>
      <c r="S392" s="128" t="str">
        <f t="shared" si="55"/>
        <v/>
      </c>
      <c r="T392" s="47" t="str">
        <f t="shared" si="48"/>
        <v>OK!</v>
      </c>
    </row>
    <row r="393" spans="2:20" ht="16.5" x14ac:dyDescent="0.3">
      <c r="B393" s="129" t="s">
        <v>2655</v>
      </c>
      <c r="C393" s="128">
        <v>6.48</v>
      </c>
      <c r="D393" s="128">
        <v>10.34</v>
      </c>
      <c r="E393" s="128"/>
      <c r="F393" s="148" t="s">
        <v>2916</v>
      </c>
      <c r="G393" s="128">
        <f t="shared" si="49"/>
        <v>6.48</v>
      </c>
      <c r="H393" s="128"/>
      <c r="I393" s="128" t="str">
        <f t="shared" si="50"/>
        <v/>
      </c>
      <c r="J393" s="128"/>
      <c r="K393" s="128" t="str">
        <f t="shared" si="51"/>
        <v/>
      </c>
      <c r="L393" s="128"/>
      <c r="M393" s="128" t="str">
        <f t="shared" si="52"/>
        <v/>
      </c>
      <c r="N393" s="148"/>
      <c r="O393" s="128" t="str">
        <f t="shared" si="53"/>
        <v/>
      </c>
      <c r="P393" s="148"/>
      <c r="Q393" s="128" t="str">
        <f t="shared" si="54"/>
        <v/>
      </c>
      <c r="R393" s="148"/>
      <c r="S393" s="128" t="str">
        <f t="shared" si="55"/>
        <v/>
      </c>
      <c r="T393" s="47" t="str">
        <f t="shared" si="48"/>
        <v>OK!</v>
      </c>
    </row>
    <row r="394" spans="2:20" ht="16.5" x14ac:dyDescent="0.3">
      <c r="B394" s="129" t="s">
        <v>2822</v>
      </c>
      <c r="C394" s="128">
        <v>7.16</v>
      </c>
      <c r="D394" s="128">
        <v>10.83</v>
      </c>
      <c r="E394" s="128"/>
      <c r="F394" s="148" t="s">
        <v>2916</v>
      </c>
      <c r="G394" s="128">
        <f t="shared" si="49"/>
        <v>7.16</v>
      </c>
      <c r="H394" s="128"/>
      <c r="I394" s="128" t="str">
        <f t="shared" si="50"/>
        <v/>
      </c>
      <c r="J394" s="128"/>
      <c r="K394" s="128" t="str">
        <f t="shared" si="51"/>
        <v/>
      </c>
      <c r="L394" s="128"/>
      <c r="M394" s="128" t="str">
        <f t="shared" si="52"/>
        <v/>
      </c>
      <c r="N394" s="148"/>
      <c r="O394" s="128" t="str">
        <f t="shared" si="53"/>
        <v/>
      </c>
      <c r="P394" s="148"/>
      <c r="Q394" s="128" t="str">
        <f t="shared" si="54"/>
        <v/>
      </c>
      <c r="R394" s="148"/>
      <c r="S394" s="128" t="str">
        <f t="shared" si="55"/>
        <v/>
      </c>
      <c r="T394" s="47" t="str">
        <f t="shared" si="48"/>
        <v>OK!</v>
      </c>
    </row>
    <row r="395" spans="2:20" ht="16.5" x14ac:dyDescent="0.3">
      <c r="B395" s="129" t="s">
        <v>2823</v>
      </c>
      <c r="C395" s="128">
        <v>9.93</v>
      </c>
      <c r="D395" s="128">
        <v>13.44</v>
      </c>
      <c r="E395" s="128"/>
      <c r="F395" s="148" t="s">
        <v>2916</v>
      </c>
      <c r="G395" s="128">
        <f t="shared" si="49"/>
        <v>9.93</v>
      </c>
      <c r="H395" s="128"/>
      <c r="I395" s="128" t="str">
        <f t="shared" si="50"/>
        <v/>
      </c>
      <c r="J395" s="128"/>
      <c r="K395" s="128" t="str">
        <f t="shared" si="51"/>
        <v/>
      </c>
      <c r="L395" s="128"/>
      <c r="M395" s="128" t="str">
        <f t="shared" si="52"/>
        <v/>
      </c>
      <c r="N395" s="148"/>
      <c r="O395" s="128" t="str">
        <f t="shared" si="53"/>
        <v/>
      </c>
      <c r="P395" s="148"/>
      <c r="Q395" s="128" t="str">
        <f t="shared" si="54"/>
        <v/>
      </c>
      <c r="R395" s="148"/>
      <c r="S395" s="128" t="str">
        <f t="shared" si="55"/>
        <v/>
      </c>
      <c r="T395" s="47" t="str">
        <f t="shared" si="48"/>
        <v>OK!</v>
      </c>
    </row>
    <row r="396" spans="2:20" ht="16.5" x14ac:dyDescent="0.3">
      <c r="B396" s="129" t="s">
        <v>2678</v>
      </c>
      <c r="C396" s="128">
        <v>5.69</v>
      </c>
      <c r="D396" s="128">
        <v>10.58</v>
      </c>
      <c r="E396" s="128"/>
      <c r="F396" s="148" t="s">
        <v>2916</v>
      </c>
      <c r="G396" s="128">
        <f t="shared" si="49"/>
        <v>5.69</v>
      </c>
      <c r="H396" s="128"/>
      <c r="I396" s="128" t="str">
        <f t="shared" si="50"/>
        <v/>
      </c>
      <c r="J396" s="128"/>
      <c r="K396" s="128" t="str">
        <f t="shared" si="51"/>
        <v/>
      </c>
      <c r="L396" s="128"/>
      <c r="M396" s="128" t="str">
        <f t="shared" si="52"/>
        <v/>
      </c>
      <c r="N396" s="148"/>
      <c r="O396" s="128" t="str">
        <f t="shared" si="53"/>
        <v/>
      </c>
      <c r="P396" s="148"/>
      <c r="Q396" s="128" t="str">
        <f t="shared" si="54"/>
        <v/>
      </c>
      <c r="R396" s="148"/>
      <c r="S396" s="128" t="str">
        <f t="shared" si="55"/>
        <v/>
      </c>
      <c r="T396" s="47" t="str">
        <f t="shared" si="48"/>
        <v>OK!</v>
      </c>
    </row>
    <row r="397" spans="2:20" ht="16.5" x14ac:dyDescent="0.3">
      <c r="B397" s="129" t="s">
        <v>2667</v>
      </c>
      <c r="C397" s="128">
        <v>25.26</v>
      </c>
      <c r="D397" s="128">
        <v>21.06</v>
      </c>
      <c r="E397" s="128"/>
      <c r="F397" s="148" t="s">
        <v>2916</v>
      </c>
      <c r="G397" s="128">
        <f t="shared" si="49"/>
        <v>25.26</v>
      </c>
      <c r="H397" s="128"/>
      <c r="I397" s="128" t="str">
        <f t="shared" si="50"/>
        <v/>
      </c>
      <c r="J397" s="128"/>
      <c r="K397" s="128" t="str">
        <f t="shared" si="51"/>
        <v/>
      </c>
      <c r="L397" s="128"/>
      <c r="M397" s="128" t="str">
        <f t="shared" si="52"/>
        <v/>
      </c>
      <c r="N397" s="148"/>
      <c r="O397" s="128" t="str">
        <f t="shared" si="53"/>
        <v/>
      </c>
      <c r="P397" s="148"/>
      <c r="Q397" s="128" t="str">
        <f t="shared" si="54"/>
        <v/>
      </c>
      <c r="R397" s="148"/>
      <c r="S397" s="128" t="str">
        <f t="shared" si="55"/>
        <v/>
      </c>
      <c r="T397" s="47" t="str">
        <f t="shared" si="48"/>
        <v>OK!</v>
      </c>
    </row>
    <row r="398" spans="2:20" ht="16.5" x14ac:dyDescent="0.3">
      <c r="B398" s="129" t="s">
        <v>2668</v>
      </c>
      <c r="C398" s="128">
        <v>5.19</v>
      </c>
      <c r="D398" s="128">
        <v>10</v>
      </c>
      <c r="E398" s="128"/>
      <c r="F398" s="148" t="s">
        <v>2916</v>
      </c>
      <c r="G398" s="128">
        <f t="shared" si="49"/>
        <v>5.19</v>
      </c>
      <c r="H398" s="128"/>
      <c r="I398" s="128" t="str">
        <f t="shared" si="50"/>
        <v/>
      </c>
      <c r="J398" s="128"/>
      <c r="K398" s="128" t="str">
        <f t="shared" si="51"/>
        <v/>
      </c>
      <c r="L398" s="128"/>
      <c r="M398" s="128" t="str">
        <f t="shared" si="52"/>
        <v/>
      </c>
      <c r="N398" s="148"/>
      <c r="O398" s="128" t="str">
        <f t="shared" si="53"/>
        <v/>
      </c>
      <c r="P398" s="148"/>
      <c r="Q398" s="128" t="str">
        <f t="shared" si="54"/>
        <v/>
      </c>
      <c r="R398" s="148"/>
      <c r="S398" s="128" t="str">
        <f t="shared" si="55"/>
        <v/>
      </c>
      <c r="T398" s="47" t="str">
        <f t="shared" si="48"/>
        <v>OK!</v>
      </c>
    </row>
    <row r="399" spans="2:20" ht="16.5" x14ac:dyDescent="0.3">
      <c r="B399" s="129" t="s">
        <v>2673</v>
      </c>
      <c r="C399" s="128">
        <v>25.3</v>
      </c>
      <c r="D399" s="128">
        <v>21.08</v>
      </c>
      <c r="E399" s="128"/>
      <c r="F399" s="148" t="s">
        <v>2916</v>
      </c>
      <c r="G399" s="128">
        <f t="shared" si="49"/>
        <v>25.3</v>
      </c>
      <c r="H399" s="128"/>
      <c r="I399" s="128" t="str">
        <f t="shared" si="50"/>
        <v/>
      </c>
      <c r="J399" s="128"/>
      <c r="K399" s="128" t="str">
        <f t="shared" si="51"/>
        <v/>
      </c>
      <c r="L399" s="128"/>
      <c r="M399" s="128" t="str">
        <f t="shared" si="52"/>
        <v/>
      </c>
      <c r="N399" s="148"/>
      <c r="O399" s="128" t="str">
        <f t="shared" si="53"/>
        <v/>
      </c>
      <c r="P399" s="148"/>
      <c r="Q399" s="128" t="str">
        <f t="shared" si="54"/>
        <v/>
      </c>
      <c r="R399" s="148"/>
      <c r="S399" s="128" t="str">
        <f t="shared" si="55"/>
        <v/>
      </c>
      <c r="T399" s="47" t="str">
        <f t="shared" si="48"/>
        <v>OK!</v>
      </c>
    </row>
    <row r="400" spans="2:20" ht="16.5" x14ac:dyDescent="0.3">
      <c r="B400" s="129" t="s">
        <v>2674</v>
      </c>
      <c r="C400" s="128">
        <v>5.19</v>
      </c>
      <c r="D400" s="128">
        <v>10</v>
      </c>
      <c r="E400" s="128"/>
      <c r="F400" s="148" t="s">
        <v>2916</v>
      </c>
      <c r="G400" s="128">
        <f t="shared" si="49"/>
        <v>5.19</v>
      </c>
      <c r="H400" s="128"/>
      <c r="I400" s="128" t="str">
        <f t="shared" si="50"/>
        <v/>
      </c>
      <c r="J400" s="128"/>
      <c r="K400" s="128" t="str">
        <f t="shared" si="51"/>
        <v/>
      </c>
      <c r="L400" s="128"/>
      <c r="M400" s="128" t="str">
        <f t="shared" si="52"/>
        <v/>
      </c>
      <c r="N400" s="148"/>
      <c r="O400" s="128" t="str">
        <f t="shared" si="53"/>
        <v/>
      </c>
      <c r="P400" s="148"/>
      <c r="Q400" s="128" t="str">
        <f t="shared" si="54"/>
        <v/>
      </c>
      <c r="R400" s="148"/>
      <c r="S400" s="128" t="str">
        <f t="shared" si="55"/>
        <v/>
      </c>
      <c r="T400" s="47" t="str">
        <f t="shared" si="48"/>
        <v>OK!</v>
      </c>
    </row>
    <row r="401" spans="2:20" ht="16.5" x14ac:dyDescent="0.3">
      <c r="B401" s="129" t="s">
        <v>2594</v>
      </c>
      <c r="C401" s="128">
        <v>29.17</v>
      </c>
      <c r="D401" s="128">
        <v>30.67</v>
      </c>
      <c r="E401" s="128"/>
      <c r="F401" s="148" t="s">
        <v>2916</v>
      </c>
      <c r="G401" s="128">
        <f t="shared" si="49"/>
        <v>29.17</v>
      </c>
      <c r="H401" s="128"/>
      <c r="I401" s="128" t="str">
        <f t="shared" si="50"/>
        <v/>
      </c>
      <c r="J401" s="128"/>
      <c r="K401" s="128" t="str">
        <f t="shared" si="51"/>
        <v/>
      </c>
      <c r="L401" s="128"/>
      <c r="M401" s="128" t="str">
        <f t="shared" si="52"/>
        <v/>
      </c>
      <c r="N401" s="148"/>
      <c r="O401" s="128" t="str">
        <f t="shared" si="53"/>
        <v/>
      </c>
      <c r="P401" s="148"/>
      <c r="Q401" s="128" t="str">
        <f t="shared" si="54"/>
        <v/>
      </c>
      <c r="R401" s="148"/>
      <c r="S401" s="128" t="str">
        <f t="shared" si="55"/>
        <v/>
      </c>
      <c r="T401" s="47" t="str">
        <f t="shared" si="48"/>
        <v>OK!</v>
      </c>
    </row>
    <row r="402" spans="2:20" ht="16.5" x14ac:dyDescent="0.3">
      <c r="B402" s="129" t="s">
        <v>2824</v>
      </c>
      <c r="C402" s="128">
        <v>12.77</v>
      </c>
      <c r="D402" s="128">
        <v>14.38</v>
      </c>
      <c r="E402" s="128"/>
      <c r="F402" s="148" t="s">
        <v>2916</v>
      </c>
      <c r="G402" s="128">
        <f t="shared" si="49"/>
        <v>12.77</v>
      </c>
      <c r="H402" s="128"/>
      <c r="I402" s="128" t="str">
        <f t="shared" si="50"/>
        <v/>
      </c>
      <c r="J402" s="128"/>
      <c r="K402" s="128" t="str">
        <f t="shared" si="51"/>
        <v/>
      </c>
      <c r="L402" s="128"/>
      <c r="M402" s="128" t="str">
        <f t="shared" si="52"/>
        <v/>
      </c>
      <c r="N402" s="148"/>
      <c r="O402" s="128" t="str">
        <f t="shared" si="53"/>
        <v/>
      </c>
      <c r="P402" s="148"/>
      <c r="Q402" s="128" t="str">
        <f t="shared" si="54"/>
        <v/>
      </c>
      <c r="R402" s="148"/>
      <c r="S402" s="128" t="str">
        <f t="shared" si="55"/>
        <v/>
      </c>
      <c r="T402" s="47" t="str">
        <f t="shared" si="48"/>
        <v>OK!</v>
      </c>
    </row>
    <row r="403" spans="2:20" ht="16.5" x14ac:dyDescent="0.3">
      <c r="B403" s="136" t="s">
        <v>2825</v>
      </c>
      <c r="C403" s="128"/>
      <c r="D403" s="128"/>
      <c r="E403" s="128"/>
      <c r="F403" s="148"/>
      <c r="G403" s="128"/>
      <c r="H403" s="128"/>
      <c r="I403" s="128" t="str">
        <f t="shared" si="50"/>
        <v/>
      </c>
      <c r="J403" s="128"/>
      <c r="K403" s="128" t="str">
        <f t="shared" si="51"/>
        <v/>
      </c>
      <c r="L403" s="128"/>
      <c r="M403" s="128" t="str">
        <f t="shared" si="52"/>
        <v/>
      </c>
      <c r="N403" s="148"/>
      <c r="O403" s="128" t="str">
        <f t="shared" si="53"/>
        <v/>
      </c>
      <c r="P403" s="148"/>
      <c r="Q403" s="128" t="str">
        <f t="shared" si="54"/>
        <v/>
      </c>
      <c r="R403" s="148"/>
      <c r="S403" s="128" t="str">
        <f t="shared" si="55"/>
        <v/>
      </c>
      <c r="T403" s="47" t="str">
        <f t="shared" si="48"/>
        <v>OK!</v>
      </c>
    </row>
    <row r="404" spans="2:20" ht="16.5" x14ac:dyDescent="0.3">
      <c r="B404" s="129" t="s">
        <v>2670</v>
      </c>
      <c r="C404" s="128">
        <v>18.920000000000002</v>
      </c>
      <c r="D404" s="128">
        <v>20.8</v>
      </c>
      <c r="E404" s="128"/>
      <c r="F404" s="148" t="s">
        <v>2916</v>
      </c>
      <c r="G404" s="128">
        <f t="shared" si="49"/>
        <v>18.920000000000002</v>
      </c>
      <c r="H404" s="128"/>
      <c r="I404" s="128" t="str">
        <f t="shared" si="50"/>
        <v/>
      </c>
      <c r="J404" s="128"/>
      <c r="K404" s="128" t="str">
        <f t="shared" si="51"/>
        <v/>
      </c>
      <c r="L404" s="128"/>
      <c r="M404" s="128" t="str">
        <f t="shared" si="52"/>
        <v/>
      </c>
      <c r="N404" s="148"/>
      <c r="O404" s="128" t="str">
        <f t="shared" si="53"/>
        <v/>
      </c>
      <c r="P404" s="148"/>
      <c r="Q404" s="128" t="str">
        <f t="shared" si="54"/>
        <v/>
      </c>
      <c r="R404" s="148"/>
      <c r="S404" s="128" t="str">
        <f t="shared" si="55"/>
        <v/>
      </c>
      <c r="T404" s="47" t="str">
        <f t="shared" si="48"/>
        <v>OK!</v>
      </c>
    </row>
    <row r="405" spans="2:20" ht="16.5" x14ac:dyDescent="0.3">
      <c r="B405" s="129" t="s">
        <v>2669</v>
      </c>
      <c r="C405" s="128">
        <v>6.74</v>
      </c>
      <c r="D405" s="128">
        <v>12.1</v>
      </c>
      <c r="E405" s="128"/>
      <c r="F405" s="148" t="s">
        <v>2916</v>
      </c>
      <c r="G405" s="128">
        <f t="shared" si="49"/>
        <v>6.74</v>
      </c>
      <c r="H405" s="128"/>
      <c r="I405" s="128" t="str">
        <f t="shared" si="50"/>
        <v/>
      </c>
      <c r="J405" s="128"/>
      <c r="K405" s="128" t="str">
        <f t="shared" si="51"/>
        <v/>
      </c>
      <c r="L405" s="128"/>
      <c r="M405" s="128" t="str">
        <f t="shared" si="52"/>
        <v/>
      </c>
      <c r="N405" s="148"/>
      <c r="O405" s="128" t="str">
        <f t="shared" si="53"/>
        <v/>
      </c>
      <c r="P405" s="148"/>
      <c r="Q405" s="128" t="str">
        <f t="shared" si="54"/>
        <v/>
      </c>
      <c r="R405" s="148"/>
      <c r="S405" s="128" t="str">
        <f t="shared" si="55"/>
        <v/>
      </c>
      <c r="T405" s="47" t="str">
        <f t="shared" si="48"/>
        <v>OK!</v>
      </c>
    </row>
    <row r="406" spans="2:20" ht="16.5" x14ac:dyDescent="0.3">
      <c r="B406" s="129" t="s">
        <v>2666</v>
      </c>
      <c r="C406" s="128">
        <v>4.53</v>
      </c>
      <c r="D406" s="128">
        <v>8.76</v>
      </c>
      <c r="E406" s="128"/>
      <c r="F406" s="148" t="s">
        <v>2916</v>
      </c>
      <c r="G406" s="128">
        <f t="shared" si="49"/>
        <v>4.53</v>
      </c>
      <c r="H406" s="128"/>
      <c r="I406" s="128" t="str">
        <f t="shared" si="50"/>
        <v/>
      </c>
      <c r="J406" s="128"/>
      <c r="K406" s="128" t="str">
        <f t="shared" si="51"/>
        <v/>
      </c>
      <c r="L406" s="128"/>
      <c r="M406" s="128" t="str">
        <f t="shared" si="52"/>
        <v/>
      </c>
      <c r="N406" s="148"/>
      <c r="O406" s="128" t="str">
        <f t="shared" si="53"/>
        <v/>
      </c>
      <c r="P406" s="148"/>
      <c r="Q406" s="128" t="str">
        <f t="shared" si="54"/>
        <v/>
      </c>
      <c r="R406" s="148"/>
      <c r="S406" s="128" t="str">
        <f t="shared" si="55"/>
        <v/>
      </c>
      <c r="T406" s="47" t="str">
        <f t="shared" si="48"/>
        <v>OK!</v>
      </c>
    </row>
    <row r="407" spans="2:20" ht="16.5" x14ac:dyDescent="0.3">
      <c r="B407" s="129" t="s">
        <v>2591</v>
      </c>
      <c r="C407" s="128">
        <v>3.14</v>
      </c>
      <c r="D407" s="128">
        <v>7.1</v>
      </c>
      <c r="E407" s="128"/>
      <c r="F407" s="148" t="s">
        <v>2916</v>
      </c>
      <c r="G407" s="128">
        <f t="shared" si="49"/>
        <v>3.14</v>
      </c>
      <c r="H407" s="128"/>
      <c r="I407" s="128" t="str">
        <f t="shared" si="50"/>
        <v/>
      </c>
      <c r="J407" s="128"/>
      <c r="K407" s="128" t="str">
        <f t="shared" si="51"/>
        <v/>
      </c>
      <c r="L407" s="128"/>
      <c r="M407" s="128" t="str">
        <f t="shared" si="52"/>
        <v/>
      </c>
      <c r="N407" s="148"/>
      <c r="O407" s="128" t="str">
        <f t="shared" si="53"/>
        <v/>
      </c>
      <c r="P407" s="148"/>
      <c r="Q407" s="128" t="str">
        <f t="shared" si="54"/>
        <v/>
      </c>
      <c r="R407" s="148"/>
      <c r="S407" s="128" t="str">
        <f t="shared" si="55"/>
        <v/>
      </c>
      <c r="T407" s="47" t="str">
        <f t="shared" si="48"/>
        <v>OK!</v>
      </c>
    </row>
    <row r="408" spans="2:20" ht="16.5" x14ac:dyDescent="0.3">
      <c r="B408" s="129" t="s">
        <v>2730</v>
      </c>
      <c r="C408" s="128">
        <v>13.26</v>
      </c>
      <c r="D408" s="128">
        <v>15.01</v>
      </c>
      <c r="E408" s="128"/>
      <c r="F408" s="148" t="s">
        <v>2916</v>
      </c>
      <c r="G408" s="128">
        <f t="shared" si="49"/>
        <v>13.26</v>
      </c>
      <c r="H408" s="128"/>
      <c r="I408" s="128" t="str">
        <f t="shared" si="50"/>
        <v/>
      </c>
      <c r="J408" s="128"/>
      <c r="K408" s="128" t="str">
        <f t="shared" si="51"/>
        <v/>
      </c>
      <c r="L408" s="128"/>
      <c r="M408" s="128" t="str">
        <f t="shared" si="52"/>
        <v/>
      </c>
      <c r="N408" s="148"/>
      <c r="O408" s="128" t="str">
        <f t="shared" si="53"/>
        <v/>
      </c>
      <c r="P408" s="148"/>
      <c r="Q408" s="128" t="str">
        <f t="shared" si="54"/>
        <v/>
      </c>
      <c r="R408" s="148"/>
      <c r="S408" s="128" t="str">
        <f t="shared" si="55"/>
        <v/>
      </c>
      <c r="T408" s="47" t="str">
        <f t="shared" si="48"/>
        <v>OK!</v>
      </c>
    </row>
    <row r="409" spans="2:20" ht="16.5" x14ac:dyDescent="0.3">
      <c r="B409" s="129" t="s">
        <v>2749</v>
      </c>
      <c r="C409" s="128">
        <v>6.68</v>
      </c>
      <c r="D409" s="128">
        <v>10.48</v>
      </c>
      <c r="E409" s="128"/>
      <c r="F409" s="148" t="s">
        <v>2916</v>
      </c>
      <c r="G409" s="128">
        <f t="shared" si="49"/>
        <v>6.68</v>
      </c>
      <c r="H409" s="128"/>
      <c r="I409" s="128" t="str">
        <f t="shared" si="50"/>
        <v/>
      </c>
      <c r="J409" s="128"/>
      <c r="K409" s="128" t="str">
        <f t="shared" si="51"/>
        <v/>
      </c>
      <c r="L409" s="128"/>
      <c r="M409" s="128" t="str">
        <f t="shared" si="52"/>
        <v/>
      </c>
      <c r="N409" s="148"/>
      <c r="O409" s="128" t="str">
        <f t="shared" si="53"/>
        <v/>
      </c>
      <c r="P409" s="148"/>
      <c r="Q409" s="128" t="str">
        <f t="shared" si="54"/>
        <v/>
      </c>
      <c r="R409" s="148"/>
      <c r="S409" s="128" t="str">
        <f t="shared" si="55"/>
        <v/>
      </c>
      <c r="T409" s="47" t="str">
        <f t="shared" si="48"/>
        <v>OK!</v>
      </c>
    </row>
    <row r="410" spans="2:20" ht="16.5" x14ac:dyDescent="0.3">
      <c r="B410" s="129" t="s">
        <v>2750</v>
      </c>
      <c r="C410" s="128">
        <v>6.73</v>
      </c>
      <c r="D410" s="128">
        <v>10.48</v>
      </c>
      <c r="E410" s="128"/>
      <c r="F410" s="148" t="s">
        <v>2916</v>
      </c>
      <c r="G410" s="128">
        <f t="shared" si="49"/>
        <v>6.73</v>
      </c>
      <c r="H410" s="128"/>
      <c r="I410" s="128" t="str">
        <f t="shared" si="50"/>
        <v/>
      </c>
      <c r="J410" s="128"/>
      <c r="K410" s="128" t="str">
        <f t="shared" si="51"/>
        <v/>
      </c>
      <c r="L410" s="128"/>
      <c r="M410" s="128" t="str">
        <f t="shared" si="52"/>
        <v/>
      </c>
      <c r="N410" s="148"/>
      <c r="O410" s="128" t="str">
        <f t="shared" si="53"/>
        <v/>
      </c>
      <c r="P410" s="148"/>
      <c r="Q410" s="128" t="str">
        <f t="shared" si="54"/>
        <v/>
      </c>
      <c r="R410" s="148"/>
      <c r="S410" s="128" t="str">
        <f t="shared" si="55"/>
        <v/>
      </c>
      <c r="T410" s="47" t="str">
        <f t="shared" si="48"/>
        <v>OK!</v>
      </c>
    </row>
    <row r="411" spans="2:20" ht="16.5" x14ac:dyDescent="0.3">
      <c r="B411" s="129" t="s">
        <v>2826</v>
      </c>
      <c r="C411" s="128">
        <v>12.84</v>
      </c>
      <c r="D411" s="128">
        <v>17.399999999999999</v>
      </c>
      <c r="E411" s="128"/>
      <c r="F411" s="148" t="s">
        <v>2916</v>
      </c>
      <c r="G411" s="128">
        <f t="shared" si="49"/>
        <v>12.84</v>
      </c>
      <c r="H411" s="128"/>
      <c r="I411" s="128" t="str">
        <f t="shared" si="50"/>
        <v/>
      </c>
      <c r="J411" s="128"/>
      <c r="K411" s="128" t="str">
        <f t="shared" si="51"/>
        <v/>
      </c>
      <c r="L411" s="128"/>
      <c r="M411" s="128" t="str">
        <f t="shared" si="52"/>
        <v/>
      </c>
      <c r="N411" s="148"/>
      <c r="O411" s="128" t="str">
        <f t="shared" si="53"/>
        <v/>
      </c>
      <c r="P411" s="148"/>
      <c r="Q411" s="128" t="str">
        <f t="shared" si="54"/>
        <v/>
      </c>
      <c r="R411" s="148"/>
      <c r="S411" s="128" t="str">
        <f t="shared" si="55"/>
        <v/>
      </c>
      <c r="T411" s="47" t="str">
        <f t="shared" si="48"/>
        <v>OK!</v>
      </c>
    </row>
    <row r="412" spans="2:20" ht="16.5" x14ac:dyDescent="0.3">
      <c r="B412" s="129" t="s">
        <v>2827</v>
      </c>
      <c r="C412" s="128">
        <v>2.1</v>
      </c>
      <c r="D412" s="128">
        <v>6.35</v>
      </c>
      <c r="E412" s="128"/>
      <c r="F412" s="148" t="s">
        <v>2916</v>
      </c>
      <c r="G412" s="128">
        <f t="shared" si="49"/>
        <v>2.1</v>
      </c>
      <c r="H412" s="128"/>
      <c r="I412" s="128" t="str">
        <f t="shared" si="50"/>
        <v/>
      </c>
      <c r="J412" s="128"/>
      <c r="K412" s="128" t="str">
        <f t="shared" si="51"/>
        <v/>
      </c>
      <c r="L412" s="128"/>
      <c r="M412" s="128" t="str">
        <f t="shared" si="52"/>
        <v/>
      </c>
      <c r="N412" s="148"/>
      <c r="O412" s="128" t="str">
        <f t="shared" si="53"/>
        <v/>
      </c>
      <c r="P412" s="148"/>
      <c r="Q412" s="128" t="str">
        <f t="shared" si="54"/>
        <v/>
      </c>
      <c r="R412" s="148"/>
      <c r="S412" s="128" t="str">
        <f t="shared" si="55"/>
        <v/>
      </c>
      <c r="T412" s="47" t="str">
        <f t="shared" si="48"/>
        <v>OK!</v>
      </c>
    </row>
    <row r="413" spans="2:20" ht="16.5" x14ac:dyDescent="0.3">
      <c r="B413" s="129" t="s">
        <v>2828</v>
      </c>
      <c r="C413" s="128">
        <v>2.5099999999999998</v>
      </c>
      <c r="D413" s="128">
        <v>6.35</v>
      </c>
      <c r="E413" s="128"/>
      <c r="F413" s="148" t="s">
        <v>2916</v>
      </c>
      <c r="G413" s="128">
        <f t="shared" si="49"/>
        <v>2.5099999999999998</v>
      </c>
      <c r="H413" s="128"/>
      <c r="I413" s="128" t="str">
        <f t="shared" si="50"/>
        <v/>
      </c>
      <c r="J413" s="128"/>
      <c r="K413" s="128" t="str">
        <f t="shared" si="51"/>
        <v/>
      </c>
      <c r="L413" s="128"/>
      <c r="M413" s="128" t="str">
        <f t="shared" si="52"/>
        <v/>
      </c>
      <c r="N413" s="148"/>
      <c r="O413" s="128" t="str">
        <f t="shared" si="53"/>
        <v/>
      </c>
      <c r="P413" s="148"/>
      <c r="Q413" s="128" t="str">
        <f t="shared" si="54"/>
        <v/>
      </c>
      <c r="R413" s="148"/>
      <c r="S413" s="128" t="str">
        <f t="shared" si="55"/>
        <v/>
      </c>
      <c r="T413" s="47" t="str">
        <f t="shared" si="48"/>
        <v>OK!</v>
      </c>
    </row>
    <row r="414" spans="2:20" ht="16.5" x14ac:dyDescent="0.3">
      <c r="B414" s="129" t="s">
        <v>2675</v>
      </c>
      <c r="C414" s="128">
        <v>25.26</v>
      </c>
      <c r="D414" s="128">
        <v>21.06</v>
      </c>
      <c r="E414" s="128"/>
      <c r="F414" s="148" t="s">
        <v>2916</v>
      </c>
      <c r="G414" s="128">
        <f t="shared" si="49"/>
        <v>25.26</v>
      </c>
      <c r="H414" s="128"/>
      <c r="I414" s="128" t="str">
        <f t="shared" si="50"/>
        <v/>
      </c>
      <c r="J414" s="128"/>
      <c r="K414" s="128" t="str">
        <f t="shared" si="51"/>
        <v/>
      </c>
      <c r="L414" s="128"/>
      <c r="M414" s="128" t="str">
        <f t="shared" si="52"/>
        <v/>
      </c>
      <c r="N414" s="148"/>
      <c r="O414" s="128" t="str">
        <f t="shared" si="53"/>
        <v/>
      </c>
      <c r="P414" s="148"/>
      <c r="Q414" s="128" t="str">
        <f t="shared" si="54"/>
        <v/>
      </c>
      <c r="R414" s="148"/>
      <c r="S414" s="128" t="str">
        <f t="shared" si="55"/>
        <v/>
      </c>
      <c r="T414" s="47" t="str">
        <f t="shared" si="48"/>
        <v>OK!</v>
      </c>
    </row>
    <row r="415" spans="2:20" ht="16.5" x14ac:dyDescent="0.3">
      <c r="B415" s="129" t="s">
        <v>2676</v>
      </c>
      <c r="C415" s="128">
        <v>5.17</v>
      </c>
      <c r="D415" s="128">
        <v>9.99</v>
      </c>
      <c r="E415" s="128"/>
      <c r="F415" s="148" t="s">
        <v>2916</v>
      </c>
      <c r="G415" s="128">
        <f t="shared" si="49"/>
        <v>5.17</v>
      </c>
      <c r="H415" s="128"/>
      <c r="I415" s="128" t="str">
        <f t="shared" si="50"/>
        <v/>
      </c>
      <c r="J415" s="128"/>
      <c r="K415" s="128" t="str">
        <f t="shared" si="51"/>
        <v/>
      </c>
      <c r="L415" s="128"/>
      <c r="M415" s="128" t="str">
        <f t="shared" si="52"/>
        <v/>
      </c>
      <c r="N415" s="148"/>
      <c r="O415" s="128" t="str">
        <f t="shared" si="53"/>
        <v/>
      </c>
      <c r="P415" s="148"/>
      <c r="Q415" s="128" t="str">
        <f t="shared" si="54"/>
        <v/>
      </c>
      <c r="R415" s="148"/>
      <c r="S415" s="128" t="str">
        <f t="shared" si="55"/>
        <v/>
      </c>
      <c r="T415" s="47" t="str">
        <f t="shared" si="48"/>
        <v>OK!</v>
      </c>
    </row>
    <row r="416" spans="2:20" ht="16.5" x14ac:dyDescent="0.3">
      <c r="B416" s="129" t="s">
        <v>2679</v>
      </c>
      <c r="C416" s="128">
        <v>25.32</v>
      </c>
      <c r="D416" s="128">
        <v>21.08</v>
      </c>
      <c r="E416" s="128"/>
      <c r="F416" s="148" t="s">
        <v>2916</v>
      </c>
      <c r="G416" s="128">
        <f t="shared" si="49"/>
        <v>25.32</v>
      </c>
      <c r="H416" s="128"/>
      <c r="I416" s="128" t="str">
        <f t="shared" si="50"/>
        <v/>
      </c>
      <c r="J416" s="128"/>
      <c r="K416" s="128" t="str">
        <f t="shared" si="51"/>
        <v/>
      </c>
      <c r="L416" s="128"/>
      <c r="M416" s="128" t="str">
        <f t="shared" si="52"/>
        <v/>
      </c>
      <c r="N416" s="148"/>
      <c r="O416" s="128" t="str">
        <f t="shared" si="53"/>
        <v/>
      </c>
      <c r="P416" s="148"/>
      <c r="Q416" s="128" t="str">
        <f t="shared" si="54"/>
        <v/>
      </c>
      <c r="R416" s="148"/>
      <c r="S416" s="128" t="str">
        <f t="shared" si="55"/>
        <v/>
      </c>
      <c r="T416" s="47" t="str">
        <f t="shared" si="48"/>
        <v>OK!</v>
      </c>
    </row>
    <row r="417" spans="2:20" ht="16.5" x14ac:dyDescent="0.3">
      <c r="B417" s="129" t="s">
        <v>2680</v>
      </c>
      <c r="C417" s="128">
        <v>5.17</v>
      </c>
      <c r="D417" s="128">
        <v>9.99</v>
      </c>
      <c r="E417" s="128"/>
      <c r="F417" s="148" t="s">
        <v>2916</v>
      </c>
      <c r="G417" s="128">
        <f t="shared" si="49"/>
        <v>5.17</v>
      </c>
      <c r="H417" s="128"/>
      <c r="I417" s="128" t="str">
        <f t="shared" si="50"/>
        <v/>
      </c>
      <c r="J417" s="128"/>
      <c r="K417" s="128" t="str">
        <f t="shared" si="51"/>
        <v/>
      </c>
      <c r="L417" s="128"/>
      <c r="M417" s="128" t="str">
        <f t="shared" si="52"/>
        <v/>
      </c>
      <c r="N417" s="148"/>
      <c r="O417" s="128" t="str">
        <f t="shared" si="53"/>
        <v/>
      </c>
      <c r="P417" s="148"/>
      <c r="Q417" s="128" t="str">
        <f t="shared" si="54"/>
        <v/>
      </c>
      <c r="R417" s="148"/>
      <c r="S417" s="128" t="str">
        <f t="shared" si="55"/>
        <v/>
      </c>
      <c r="T417" s="47" t="str">
        <f t="shared" si="48"/>
        <v>OK!</v>
      </c>
    </row>
    <row r="418" spans="2:20" ht="16.5" x14ac:dyDescent="0.3">
      <c r="B418" s="129" t="s">
        <v>2594</v>
      </c>
      <c r="C418" s="128">
        <v>77.36</v>
      </c>
      <c r="D418" s="128">
        <v>74.73</v>
      </c>
      <c r="E418" s="128"/>
      <c r="F418" s="148" t="s">
        <v>2916</v>
      </c>
      <c r="G418" s="128">
        <f t="shared" si="49"/>
        <v>77.36</v>
      </c>
      <c r="H418" s="128"/>
      <c r="I418" s="128" t="str">
        <f t="shared" si="50"/>
        <v/>
      </c>
      <c r="J418" s="128"/>
      <c r="K418" s="128" t="str">
        <f t="shared" si="51"/>
        <v/>
      </c>
      <c r="L418" s="128"/>
      <c r="M418" s="128" t="str">
        <f t="shared" si="52"/>
        <v/>
      </c>
      <c r="N418" s="148"/>
      <c r="O418" s="128" t="str">
        <f t="shared" si="53"/>
        <v/>
      </c>
      <c r="P418" s="148"/>
      <c r="Q418" s="128" t="str">
        <f t="shared" si="54"/>
        <v/>
      </c>
      <c r="R418" s="148"/>
      <c r="S418" s="128" t="str">
        <f t="shared" si="55"/>
        <v/>
      </c>
      <c r="T418" s="47" t="str">
        <f t="shared" si="48"/>
        <v>OK!</v>
      </c>
    </row>
    <row r="419" spans="2:20" ht="16.5" x14ac:dyDescent="0.3">
      <c r="B419" s="129" t="s">
        <v>2829</v>
      </c>
      <c r="C419" s="128">
        <v>27.91</v>
      </c>
      <c r="D419" s="128">
        <v>22</v>
      </c>
      <c r="E419" s="128"/>
      <c r="F419" s="148" t="s">
        <v>2916</v>
      </c>
      <c r="G419" s="128">
        <f t="shared" si="49"/>
        <v>27.91</v>
      </c>
      <c r="H419" s="128"/>
      <c r="I419" s="128" t="str">
        <f t="shared" si="50"/>
        <v/>
      </c>
      <c r="J419" s="128"/>
      <c r="K419" s="128" t="str">
        <f t="shared" si="51"/>
        <v/>
      </c>
      <c r="L419" s="128"/>
      <c r="M419" s="128" t="str">
        <f t="shared" si="52"/>
        <v/>
      </c>
      <c r="N419" s="148"/>
      <c r="O419" s="128" t="str">
        <f t="shared" si="53"/>
        <v/>
      </c>
      <c r="P419" s="148"/>
      <c r="Q419" s="128" t="str">
        <f t="shared" si="54"/>
        <v/>
      </c>
      <c r="R419" s="148"/>
      <c r="S419" s="128" t="str">
        <f t="shared" si="55"/>
        <v/>
      </c>
      <c r="T419" s="47" t="str">
        <f t="shared" si="48"/>
        <v>OK!</v>
      </c>
    </row>
    <row r="420" spans="2:20" ht="16.5" x14ac:dyDescent="0.3">
      <c r="B420" s="129" t="s">
        <v>2830</v>
      </c>
      <c r="C420" s="128">
        <v>5.23</v>
      </c>
      <c r="D420" s="128">
        <v>10.06</v>
      </c>
      <c r="E420" s="128"/>
      <c r="F420" s="148" t="s">
        <v>2916</v>
      </c>
      <c r="G420" s="128">
        <f t="shared" si="49"/>
        <v>5.23</v>
      </c>
      <c r="H420" s="128"/>
      <c r="I420" s="128" t="str">
        <f t="shared" si="50"/>
        <v/>
      </c>
      <c r="J420" s="128"/>
      <c r="K420" s="128" t="str">
        <f t="shared" si="51"/>
        <v/>
      </c>
      <c r="L420" s="128"/>
      <c r="M420" s="128" t="str">
        <f t="shared" si="52"/>
        <v/>
      </c>
      <c r="N420" s="148"/>
      <c r="O420" s="128" t="str">
        <f t="shared" si="53"/>
        <v/>
      </c>
      <c r="P420" s="148"/>
      <c r="Q420" s="128" t="str">
        <f t="shared" si="54"/>
        <v/>
      </c>
      <c r="R420" s="148"/>
      <c r="S420" s="128" t="str">
        <f t="shared" si="55"/>
        <v/>
      </c>
      <c r="T420" s="47" t="str">
        <f t="shared" si="48"/>
        <v>OK!</v>
      </c>
    </row>
    <row r="421" spans="2:20" ht="16.5" x14ac:dyDescent="0.3">
      <c r="B421" s="129" t="s">
        <v>2598</v>
      </c>
      <c r="C421" s="128">
        <v>2.83</v>
      </c>
      <c r="D421" s="128">
        <v>7.16</v>
      </c>
      <c r="E421" s="128"/>
      <c r="F421" s="148" t="s">
        <v>2916</v>
      </c>
      <c r="G421" s="128">
        <f t="shared" si="49"/>
        <v>2.83</v>
      </c>
      <c r="H421" s="128"/>
      <c r="I421" s="128" t="str">
        <f t="shared" si="50"/>
        <v/>
      </c>
      <c r="J421" s="128"/>
      <c r="K421" s="128" t="str">
        <f t="shared" si="51"/>
        <v/>
      </c>
      <c r="L421" s="128"/>
      <c r="M421" s="128" t="str">
        <f t="shared" si="52"/>
        <v/>
      </c>
      <c r="N421" s="148"/>
      <c r="O421" s="128" t="str">
        <f t="shared" si="53"/>
        <v/>
      </c>
      <c r="P421" s="148"/>
      <c r="Q421" s="128" t="str">
        <f t="shared" si="54"/>
        <v/>
      </c>
      <c r="R421" s="148"/>
      <c r="S421" s="128" t="str">
        <f t="shared" si="55"/>
        <v/>
      </c>
      <c r="T421" s="47" t="str">
        <f t="shared" si="48"/>
        <v>OK!</v>
      </c>
    </row>
    <row r="422" spans="2:20" ht="16.5" x14ac:dyDescent="0.3">
      <c r="B422" s="129" t="s">
        <v>2678</v>
      </c>
      <c r="C422" s="128">
        <v>5.77</v>
      </c>
      <c r="D422" s="128">
        <v>10.67</v>
      </c>
      <c r="E422" s="128"/>
      <c r="F422" s="148" t="s">
        <v>2916</v>
      </c>
      <c r="G422" s="128">
        <f t="shared" si="49"/>
        <v>5.77</v>
      </c>
      <c r="H422" s="128"/>
      <c r="I422" s="128" t="str">
        <f t="shared" si="50"/>
        <v/>
      </c>
      <c r="J422" s="128"/>
      <c r="K422" s="128" t="str">
        <f t="shared" si="51"/>
        <v/>
      </c>
      <c r="L422" s="128"/>
      <c r="M422" s="128" t="str">
        <f t="shared" si="52"/>
        <v/>
      </c>
      <c r="N422" s="148"/>
      <c r="O422" s="128" t="str">
        <f t="shared" si="53"/>
        <v/>
      </c>
      <c r="P422" s="148"/>
      <c r="Q422" s="128" t="str">
        <f t="shared" si="54"/>
        <v/>
      </c>
      <c r="R422" s="148"/>
      <c r="S422" s="128" t="str">
        <f t="shared" si="55"/>
        <v/>
      </c>
      <c r="T422" s="47" t="str">
        <f t="shared" si="48"/>
        <v>OK!</v>
      </c>
    </row>
    <row r="423" spans="2:20" ht="16.5" x14ac:dyDescent="0.3">
      <c r="B423" s="129" t="s">
        <v>2677</v>
      </c>
      <c r="C423" s="128">
        <v>23.7</v>
      </c>
      <c r="D423" s="128">
        <v>20.28</v>
      </c>
      <c r="E423" s="128"/>
      <c r="F423" s="148" t="s">
        <v>2916</v>
      </c>
      <c r="G423" s="128">
        <f t="shared" si="49"/>
        <v>23.7</v>
      </c>
      <c r="H423" s="128"/>
      <c r="I423" s="128" t="str">
        <f t="shared" si="50"/>
        <v/>
      </c>
      <c r="J423" s="128"/>
      <c r="K423" s="128" t="str">
        <f t="shared" si="51"/>
        <v/>
      </c>
      <c r="L423" s="128"/>
      <c r="M423" s="128" t="str">
        <f t="shared" si="52"/>
        <v/>
      </c>
      <c r="N423" s="148"/>
      <c r="O423" s="128" t="str">
        <f t="shared" si="53"/>
        <v/>
      </c>
      <c r="P423" s="148"/>
      <c r="Q423" s="128" t="str">
        <f t="shared" si="54"/>
        <v/>
      </c>
      <c r="R423" s="148"/>
      <c r="S423" s="128" t="str">
        <f t="shared" si="55"/>
        <v/>
      </c>
      <c r="T423" s="47" t="str">
        <f t="shared" si="48"/>
        <v>OK!</v>
      </c>
    </row>
    <row r="424" spans="2:20" ht="16.5" x14ac:dyDescent="0.3">
      <c r="B424" s="129" t="s">
        <v>2831</v>
      </c>
      <c r="C424" s="128">
        <v>27.49</v>
      </c>
      <c r="D424" s="128">
        <v>21.79</v>
      </c>
      <c r="E424" s="128"/>
      <c r="F424" s="148" t="s">
        <v>2916</v>
      </c>
      <c r="G424" s="128">
        <f t="shared" si="49"/>
        <v>27.49</v>
      </c>
      <c r="H424" s="128"/>
      <c r="I424" s="128" t="str">
        <f t="shared" si="50"/>
        <v/>
      </c>
      <c r="J424" s="128"/>
      <c r="K424" s="128" t="str">
        <f t="shared" si="51"/>
        <v/>
      </c>
      <c r="L424" s="128"/>
      <c r="M424" s="128" t="str">
        <f t="shared" si="52"/>
        <v/>
      </c>
      <c r="N424" s="148"/>
      <c r="O424" s="128" t="str">
        <f t="shared" si="53"/>
        <v/>
      </c>
      <c r="P424" s="148"/>
      <c r="Q424" s="128" t="str">
        <f t="shared" si="54"/>
        <v/>
      </c>
      <c r="R424" s="148"/>
      <c r="S424" s="128" t="str">
        <f t="shared" si="55"/>
        <v/>
      </c>
      <c r="T424" s="47" t="str">
        <f t="shared" si="48"/>
        <v>OK!</v>
      </c>
    </row>
    <row r="425" spans="2:20" ht="16.5" x14ac:dyDescent="0.3">
      <c r="B425" s="129" t="s">
        <v>2832</v>
      </c>
      <c r="C425" s="128">
        <v>5.2</v>
      </c>
      <c r="D425" s="128">
        <v>10.01</v>
      </c>
      <c r="E425" s="128"/>
      <c r="F425" s="148" t="s">
        <v>2916</v>
      </c>
      <c r="G425" s="128">
        <f t="shared" si="49"/>
        <v>5.2</v>
      </c>
      <c r="H425" s="128"/>
      <c r="I425" s="128" t="str">
        <f t="shared" si="50"/>
        <v/>
      </c>
      <c r="J425" s="128"/>
      <c r="K425" s="128" t="str">
        <f t="shared" si="51"/>
        <v/>
      </c>
      <c r="L425" s="128"/>
      <c r="M425" s="128" t="str">
        <f t="shared" si="52"/>
        <v/>
      </c>
      <c r="N425" s="148"/>
      <c r="O425" s="128" t="str">
        <f t="shared" si="53"/>
        <v/>
      </c>
      <c r="P425" s="148"/>
      <c r="Q425" s="128" t="str">
        <f t="shared" si="54"/>
        <v/>
      </c>
      <c r="R425" s="148"/>
      <c r="S425" s="128" t="str">
        <f t="shared" si="55"/>
        <v/>
      </c>
      <c r="T425" s="47" t="str">
        <f t="shared" si="48"/>
        <v>OK!</v>
      </c>
    </row>
    <row r="426" spans="2:20" ht="16.5" x14ac:dyDescent="0.3">
      <c r="B426" s="129" t="s">
        <v>2833</v>
      </c>
      <c r="C426" s="128">
        <v>27.41</v>
      </c>
      <c r="D426" s="128">
        <v>21.79</v>
      </c>
      <c r="E426" s="128"/>
      <c r="F426" s="148" t="s">
        <v>2916</v>
      </c>
      <c r="G426" s="128">
        <f t="shared" si="49"/>
        <v>27.41</v>
      </c>
      <c r="H426" s="128"/>
      <c r="I426" s="128" t="str">
        <f t="shared" si="50"/>
        <v/>
      </c>
      <c r="J426" s="128"/>
      <c r="K426" s="128" t="str">
        <f t="shared" si="51"/>
        <v/>
      </c>
      <c r="L426" s="128"/>
      <c r="M426" s="128" t="str">
        <f t="shared" si="52"/>
        <v/>
      </c>
      <c r="N426" s="148"/>
      <c r="O426" s="128" t="str">
        <f t="shared" si="53"/>
        <v/>
      </c>
      <c r="P426" s="148"/>
      <c r="Q426" s="128" t="str">
        <f t="shared" si="54"/>
        <v/>
      </c>
      <c r="R426" s="148"/>
      <c r="S426" s="128" t="str">
        <f t="shared" si="55"/>
        <v/>
      </c>
      <c r="T426" s="47" t="str">
        <f t="shared" si="48"/>
        <v>OK!</v>
      </c>
    </row>
    <row r="427" spans="2:20" ht="16.5" x14ac:dyDescent="0.3">
      <c r="B427" s="129" t="s">
        <v>2834</v>
      </c>
      <c r="C427" s="128">
        <v>5.2</v>
      </c>
      <c r="D427" s="128">
        <v>10.01</v>
      </c>
      <c r="E427" s="128"/>
      <c r="F427" s="148" t="s">
        <v>2916</v>
      </c>
      <c r="G427" s="128">
        <f t="shared" si="49"/>
        <v>5.2</v>
      </c>
      <c r="H427" s="128"/>
      <c r="I427" s="128" t="str">
        <f t="shared" si="50"/>
        <v/>
      </c>
      <c r="J427" s="128"/>
      <c r="K427" s="128" t="str">
        <f t="shared" si="51"/>
        <v/>
      </c>
      <c r="L427" s="128"/>
      <c r="M427" s="128" t="str">
        <f t="shared" si="52"/>
        <v/>
      </c>
      <c r="N427" s="148"/>
      <c r="O427" s="128" t="str">
        <f t="shared" si="53"/>
        <v/>
      </c>
      <c r="P427" s="148"/>
      <c r="Q427" s="128" t="str">
        <f t="shared" si="54"/>
        <v/>
      </c>
      <c r="R427" s="148"/>
      <c r="S427" s="128" t="str">
        <f t="shared" si="55"/>
        <v/>
      </c>
      <c r="T427" s="47" t="str">
        <f t="shared" si="48"/>
        <v>OK!</v>
      </c>
    </row>
    <row r="428" spans="2:20" ht="16.5" x14ac:dyDescent="0.3">
      <c r="B428" s="129" t="s">
        <v>2835</v>
      </c>
      <c r="C428" s="128">
        <v>27.34</v>
      </c>
      <c r="D428" s="128">
        <v>21.77</v>
      </c>
      <c r="E428" s="128"/>
      <c r="F428" s="148" t="s">
        <v>2916</v>
      </c>
      <c r="G428" s="128">
        <f t="shared" si="49"/>
        <v>27.34</v>
      </c>
      <c r="H428" s="128"/>
      <c r="I428" s="128" t="str">
        <f t="shared" si="50"/>
        <v/>
      </c>
      <c r="J428" s="128"/>
      <c r="K428" s="128" t="str">
        <f t="shared" si="51"/>
        <v/>
      </c>
      <c r="L428" s="128"/>
      <c r="M428" s="128" t="str">
        <f t="shared" si="52"/>
        <v/>
      </c>
      <c r="N428" s="148"/>
      <c r="O428" s="128" t="str">
        <f t="shared" si="53"/>
        <v/>
      </c>
      <c r="P428" s="148"/>
      <c r="Q428" s="128" t="str">
        <f t="shared" si="54"/>
        <v/>
      </c>
      <c r="R428" s="148"/>
      <c r="S428" s="128" t="str">
        <f t="shared" si="55"/>
        <v/>
      </c>
      <c r="T428" s="47" t="str">
        <f t="shared" si="48"/>
        <v>OK!</v>
      </c>
    </row>
    <row r="429" spans="2:20" ht="16.5" x14ac:dyDescent="0.3">
      <c r="B429" s="129" t="s">
        <v>2836</v>
      </c>
      <c r="C429" s="128">
        <v>5.7</v>
      </c>
      <c r="D429" s="128">
        <v>10.11</v>
      </c>
      <c r="E429" s="128"/>
      <c r="F429" s="148" t="s">
        <v>2916</v>
      </c>
      <c r="G429" s="128">
        <f t="shared" si="49"/>
        <v>5.7</v>
      </c>
      <c r="H429" s="128"/>
      <c r="I429" s="128" t="str">
        <f t="shared" si="50"/>
        <v/>
      </c>
      <c r="J429" s="128"/>
      <c r="K429" s="128" t="str">
        <f t="shared" si="51"/>
        <v/>
      </c>
      <c r="L429" s="128"/>
      <c r="M429" s="128" t="str">
        <f t="shared" si="52"/>
        <v/>
      </c>
      <c r="N429" s="148"/>
      <c r="O429" s="128" t="str">
        <f t="shared" si="53"/>
        <v/>
      </c>
      <c r="P429" s="148"/>
      <c r="Q429" s="128" t="str">
        <f t="shared" si="54"/>
        <v/>
      </c>
      <c r="R429" s="148"/>
      <c r="S429" s="128" t="str">
        <f t="shared" si="55"/>
        <v/>
      </c>
      <c r="T429" s="47" t="str">
        <f t="shared" si="48"/>
        <v>OK!</v>
      </c>
    </row>
    <row r="430" spans="2:20" ht="16.5" x14ac:dyDescent="0.3">
      <c r="B430" s="129" t="s">
        <v>2594</v>
      </c>
      <c r="C430" s="128">
        <v>136.75</v>
      </c>
      <c r="D430" s="128">
        <v>107.5</v>
      </c>
      <c r="E430" s="128">
        <v>2.6</v>
      </c>
      <c r="F430" s="148" t="s">
        <v>2916</v>
      </c>
      <c r="G430" s="128">
        <f t="shared" si="49"/>
        <v>136.75</v>
      </c>
      <c r="H430" s="128"/>
      <c r="I430" s="128" t="str">
        <f t="shared" si="50"/>
        <v/>
      </c>
      <c r="J430" s="128"/>
      <c r="K430" s="128" t="str">
        <f t="shared" si="51"/>
        <v/>
      </c>
      <c r="L430" s="128"/>
      <c r="M430" s="128" t="str">
        <f t="shared" si="52"/>
        <v/>
      </c>
      <c r="N430" s="148"/>
      <c r="O430" s="128" t="str">
        <f t="shared" si="53"/>
        <v/>
      </c>
      <c r="P430" s="148"/>
      <c r="Q430" s="128" t="str">
        <f t="shared" si="54"/>
        <v/>
      </c>
      <c r="R430" s="148"/>
      <c r="S430" s="128" t="str">
        <f t="shared" si="55"/>
        <v/>
      </c>
      <c r="T430" s="47" t="str">
        <f t="shared" si="48"/>
        <v>OK!</v>
      </c>
    </row>
    <row r="431" spans="2:20" ht="16.5" x14ac:dyDescent="0.3">
      <c r="B431" s="136" t="s">
        <v>2837</v>
      </c>
      <c r="C431" s="128"/>
      <c r="D431" s="128"/>
      <c r="E431" s="128"/>
      <c r="F431" s="148"/>
      <c r="G431" s="128"/>
      <c r="H431" s="128"/>
      <c r="I431" s="128" t="str">
        <f t="shared" si="50"/>
        <v/>
      </c>
      <c r="J431" s="128"/>
      <c r="K431" s="128" t="str">
        <f t="shared" si="51"/>
        <v/>
      </c>
      <c r="L431" s="128"/>
      <c r="M431" s="128" t="str">
        <f t="shared" si="52"/>
        <v/>
      </c>
      <c r="N431" s="148"/>
      <c r="O431" s="128" t="str">
        <f t="shared" si="53"/>
        <v/>
      </c>
      <c r="P431" s="148"/>
      <c r="Q431" s="128" t="str">
        <f t="shared" si="54"/>
        <v/>
      </c>
      <c r="R431" s="148"/>
      <c r="S431" s="128" t="str">
        <f t="shared" si="55"/>
        <v/>
      </c>
      <c r="T431" s="47" t="str">
        <f t="shared" si="48"/>
        <v>OK!</v>
      </c>
    </row>
    <row r="432" spans="2:20" ht="16.5" x14ac:dyDescent="0.3">
      <c r="B432" s="129" t="s">
        <v>2642</v>
      </c>
      <c r="C432" s="128">
        <v>25.32</v>
      </c>
      <c r="D432" s="128">
        <v>21.07</v>
      </c>
      <c r="E432" s="128"/>
      <c r="F432" s="148" t="s">
        <v>2916</v>
      </c>
      <c r="G432" s="128">
        <f t="shared" si="49"/>
        <v>25.32</v>
      </c>
      <c r="H432" s="128"/>
      <c r="I432" s="128" t="str">
        <f t="shared" si="50"/>
        <v/>
      </c>
      <c r="J432" s="128"/>
      <c r="K432" s="128" t="str">
        <f t="shared" si="51"/>
        <v/>
      </c>
      <c r="L432" s="128"/>
      <c r="M432" s="128" t="str">
        <f t="shared" si="52"/>
        <v/>
      </c>
      <c r="N432" s="148"/>
      <c r="O432" s="128" t="str">
        <f t="shared" si="53"/>
        <v/>
      </c>
      <c r="P432" s="148"/>
      <c r="Q432" s="128" t="str">
        <f t="shared" si="54"/>
        <v/>
      </c>
      <c r="R432" s="148"/>
      <c r="S432" s="128" t="str">
        <f t="shared" si="55"/>
        <v/>
      </c>
      <c r="T432" s="47" t="str">
        <f t="shared" si="48"/>
        <v>OK!</v>
      </c>
    </row>
    <row r="433" spans="2:20" ht="16.5" x14ac:dyDescent="0.3">
      <c r="B433" s="129" t="s">
        <v>2643</v>
      </c>
      <c r="C433" s="128">
        <v>5.17</v>
      </c>
      <c r="D433" s="128">
        <v>9.99</v>
      </c>
      <c r="E433" s="128"/>
      <c r="F433" s="148" t="s">
        <v>2916</v>
      </c>
      <c r="G433" s="128">
        <f t="shared" si="49"/>
        <v>5.17</v>
      </c>
      <c r="H433" s="128"/>
      <c r="I433" s="128" t="str">
        <f t="shared" si="50"/>
        <v/>
      </c>
      <c r="J433" s="128"/>
      <c r="K433" s="128" t="str">
        <f t="shared" si="51"/>
        <v/>
      </c>
      <c r="L433" s="128"/>
      <c r="M433" s="128" t="str">
        <f t="shared" si="52"/>
        <v/>
      </c>
      <c r="N433" s="148"/>
      <c r="O433" s="128" t="str">
        <f t="shared" si="53"/>
        <v/>
      </c>
      <c r="P433" s="148"/>
      <c r="Q433" s="128" t="str">
        <f t="shared" si="54"/>
        <v/>
      </c>
      <c r="R433" s="148"/>
      <c r="S433" s="128" t="str">
        <f t="shared" si="55"/>
        <v/>
      </c>
      <c r="T433" s="47" t="str">
        <f t="shared" si="48"/>
        <v>OK!</v>
      </c>
    </row>
    <row r="434" spans="2:20" ht="16.5" x14ac:dyDescent="0.3">
      <c r="B434" s="129" t="s">
        <v>2644</v>
      </c>
      <c r="C434" s="128">
        <v>25.37</v>
      </c>
      <c r="D434" s="128">
        <v>21.11</v>
      </c>
      <c r="E434" s="128"/>
      <c r="F434" s="148" t="s">
        <v>2916</v>
      </c>
      <c r="G434" s="128">
        <f t="shared" si="49"/>
        <v>25.37</v>
      </c>
      <c r="H434" s="128"/>
      <c r="I434" s="128" t="str">
        <f t="shared" si="50"/>
        <v/>
      </c>
      <c r="J434" s="128"/>
      <c r="K434" s="128" t="str">
        <f t="shared" si="51"/>
        <v/>
      </c>
      <c r="L434" s="128"/>
      <c r="M434" s="128" t="str">
        <f t="shared" si="52"/>
        <v/>
      </c>
      <c r="N434" s="148"/>
      <c r="O434" s="128" t="str">
        <f t="shared" si="53"/>
        <v/>
      </c>
      <c r="P434" s="148"/>
      <c r="Q434" s="128" t="str">
        <f t="shared" si="54"/>
        <v/>
      </c>
      <c r="R434" s="148"/>
      <c r="S434" s="128" t="str">
        <f t="shared" si="55"/>
        <v/>
      </c>
      <c r="T434" s="47" t="str">
        <f t="shared" si="48"/>
        <v>OK!</v>
      </c>
    </row>
    <row r="435" spans="2:20" ht="16.5" x14ac:dyDescent="0.3">
      <c r="B435" s="129" t="s">
        <v>2645</v>
      </c>
      <c r="C435" s="128">
        <v>5.18</v>
      </c>
      <c r="D435" s="128">
        <v>9.99</v>
      </c>
      <c r="E435" s="150"/>
      <c r="F435" s="148" t="s">
        <v>2916</v>
      </c>
      <c r="G435" s="128">
        <f t="shared" si="49"/>
        <v>5.18</v>
      </c>
      <c r="H435" s="128"/>
      <c r="I435" s="128" t="str">
        <f t="shared" si="50"/>
        <v/>
      </c>
      <c r="J435" s="128"/>
      <c r="K435" s="128" t="str">
        <f t="shared" si="51"/>
        <v/>
      </c>
      <c r="L435" s="128"/>
      <c r="M435" s="128" t="str">
        <f t="shared" si="52"/>
        <v/>
      </c>
      <c r="N435" s="148"/>
      <c r="O435" s="128" t="str">
        <f t="shared" si="53"/>
        <v/>
      </c>
      <c r="P435" s="148"/>
      <c r="Q435" s="128" t="str">
        <f t="shared" si="54"/>
        <v/>
      </c>
      <c r="R435" s="148"/>
      <c r="S435" s="128" t="str">
        <f t="shared" si="55"/>
        <v/>
      </c>
      <c r="T435" s="47" t="str">
        <f t="shared" si="48"/>
        <v>OK!</v>
      </c>
    </row>
    <row r="436" spans="2:20" ht="16.5" x14ac:dyDescent="0.3">
      <c r="B436" s="129" t="s">
        <v>2646</v>
      </c>
      <c r="C436" s="128">
        <v>25.37</v>
      </c>
      <c r="D436" s="128">
        <v>21.11</v>
      </c>
      <c r="E436" s="150"/>
      <c r="F436" s="148" t="s">
        <v>2916</v>
      </c>
      <c r="G436" s="128">
        <f t="shared" si="49"/>
        <v>25.37</v>
      </c>
      <c r="H436" s="128"/>
      <c r="I436" s="128" t="str">
        <f t="shared" si="50"/>
        <v/>
      </c>
      <c r="J436" s="128"/>
      <c r="K436" s="128" t="str">
        <f t="shared" si="51"/>
        <v/>
      </c>
      <c r="L436" s="128"/>
      <c r="M436" s="128" t="str">
        <f t="shared" si="52"/>
        <v/>
      </c>
      <c r="N436" s="148"/>
      <c r="O436" s="128" t="str">
        <f t="shared" si="53"/>
        <v/>
      </c>
      <c r="P436" s="148"/>
      <c r="Q436" s="128" t="str">
        <f t="shared" si="54"/>
        <v/>
      </c>
      <c r="R436" s="148"/>
      <c r="S436" s="128" t="str">
        <f t="shared" si="55"/>
        <v/>
      </c>
      <c r="T436" s="47" t="str">
        <f t="shared" si="48"/>
        <v>OK!</v>
      </c>
    </row>
    <row r="437" spans="2:20" ht="16.5" x14ac:dyDescent="0.3">
      <c r="B437" s="129" t="s">
        <v>2647</v>
      </c>
      <c r="C437" s="128">
        <v>5.18</v>
      </c>
      <c r="D437" s="128">
        <v>9.99</v>
      </c>
      <c r="E437" s="150"/>
      <c r="F437" s="148" t="s">
        <v>2916</v>
      </c>
      <c r="G437" s="128">
        <f t="shared" si="49"/>
        <v>5.18</v>
      </c>
      <c r="H437" s="128"/>
      <c r="I437" s="128" t="str">
        <f t="shared" si="50"/>
        <v/>
      </c>
      <c r="J437" s="128"/>
      <c r="K437" s="128" t="str">
        <f t="shared" si="51"/>
        <v/>
      </c>
      <c r="L437" s="128"/>
      <c r="M437" s="128" t="str">
        <f t="shared" si="52"/>
        <v/>
      </c>
      <c r="N437" s="148"/>
      <c r="O437" s="128" t="str">
        <f t="shared" si="53"/>
        <v/>
      </c>
      <c r="P437" s="148"/>
      <c r="Q437" s="128" t="str">
        <f t="shared" si="54"/>
        <v/>
      </c>
      <c r="R437" s="148"/>
      <c r="S437" s="128" t="str">
        <f t="shared" si="55"/>
        <v/>
      </c>
      <c r="T437" s="47" t="str">
        <f t="shared" si="48"/>
        <v>OK!</v>
      </c>
    </row>
    <row r="438" spans="2:20" ht="16.5" x14ac:dyDescent="0.3">
      <c r="B438" s="129" t="s">
        <v>2648</v>
      </c>
      <c r="C438" s="128">
        <v>25.87</v>
      </c>
      <c r="D438" s="128">
        <v>21.32</v>
      </c>
      <c r="E438" s="128"/>
      <c r="F438" s="148" t="s">
        <v>2916</v>
      </c>
      <c r="G438" s="128">
        <f t="shared" si="49"/>
        <v>25.87</v>
      </c>
      <c r="H438" s="128"/>
      <c r="I438" s="128" t="str">
        <f t="shared" si="50"/>
        <v/>
      </c>
      <c r="J438" s="128"/>
      <c r="K438" s="128" t="str">
        <f t="shared" si="51"/>
        <v/>
      </c>
      <c r="L438" s="128"/>
      <c r="M438" s="128" t="str">
        <f t="shared" si="52"/>
        <v/>
      </c>
      <c r="N438" s="148"/>
      <c r="O438" s="128" t="str">
        <f t="shared" si="53"/>
        <v/>
      </c>
      <c r="P438" s="148"/>
      <c r="Q438" s="128" t="str">
        <f t="shared" si="54"/>
        <v/>
      </c>
      <c r="R438" s="148"/>
      <c r="S438" s="128" t="str">
        <f t="shared" si="55"/>
        <v/>
      </c>
      <c r="T438" s="47" t="str">
        <f t="shared" si="48"/>
        <v>OK!</v>
      </c>
    </row>
    <row r="439" spans="2:20" ht="16.5" x14ac:dyDescent="0.3">
      <c r="B439" s="129" t="s">
        <v>2649</v>
      </c>
      <c r="C439" s="128">
        <v>5.17</v>
      </c>
      <c r="D439" s="128">
        <v>9.99</v>
      </c>
      <c r="E439" s="128"/>
      <c r="F439" s="148" t="s">
        <v>2916</v>
      </c>
      <c r="G439" s="128">
        <f t="shared" si="49"/>
        <v>5.17</v>
      </c>
      <c r="H439" s="128"/>
      <c r="I439" s="128" t="str">
        <f t="shared" si="50"/>
        <v/>
      </c>
      <c r="J439" s="128"/>
      <c r="K439" s="128" t="str">
        <f t="shared" si="51"/>
        <v/>
      </c>
      <c r="L439" s="128"/>
      <c r="M439" s="128" t="str">
        <f t="shared" si="52"/>
        <v/>
      </c>
      <c r="N439" s="148"/>
      <c r="O439" s="128" t="str">
        <f t="shared" si="53"/>
        <v/>
      </c>
      <c r="P439" s="148"/>
      <c r="Q439" s="128" t="str">
        <f t="shared" si="54"/>
        <v/>
      </c>
      <c r="R439" s="148"/>
      <c r="S439" s="128" t="str">
        <f t="shared" si="55"/>
        <v/>
      </c>
      <c r="T439" s="47" t="str">
        <f t="shared" si="48"/>
        <v>OK!</v>
      </c>
    </row>
    <row r="440" spans="2:20" ht="16.5" x14ac:dyDescent="0.3">
      <c r="B440" s="129" t="s">
        <v>2594</v>
      </c>
      <c r="C440" s="128">
        <v>62.86</v>
      </c>
      <c r="D440" s="128">
        <v>63.1</v>
      </c>
      <c r="E440" s="128"/>
      <c r="F440" s="148" t="s">
        <v>2916</v>
      </c>
      <c r="G440" s="128">
        <f t="shared" si="49"/>
        <v>62.86</v>
      </c>
      <c r="H440" s="128"/>
      <c r="I440" s="128" t="str">
        <f t="shared" si="50"/>
        <v/>
      </c>
      <c r="J440" s="128"/>
      <c r="K440" s="128" t="str">
        <f t="shared" si="51"/>
        <v/>
      </c>
      <c r="L440" s="128"/>
      <c r="M440" s="128" t="str">
        <f t="shared" si="52"/>
        <v/>
      </c>
      <c r="N440" s="148"/>
      <c r="O440" s="128" t="str">
        <f t="shared" si="53"/>
        <v/>
      </c>
      <c r="P440" s="148"/>
      <c r="Q440" s="128" t="str">
        <f t="shared" si="54"/>
        <v/>
      </c>
      <c r="R440" s="148"/>
      <c r="S440" s="128" t="str">
        <f t="shared" si="55"/>
        <v/>
      </c>
      <c r="T440" s="47" t="str">
        <f t="shared" si="48"/>
        <v>OK!</v>
      </c>
    </row>
    <row r="441" spans="2:20" ht="16.5" x14ac:dyDescent="0.3">
      <c r="B441" s="129" t="s">
        <v>2651</v>
      </c>
      <c r="C441" s="128">
        <v>27.41</v>
      </c>
      <c r="D441" s="128">
        <v>21.75</v>
      </c>
      <c r="E441" s="128"/>
      <c r="F441" s="148" t="s">
        <v>2916</v>
      </c>
      <c r="G441" s="128">
        <f t="shared" si="49"/>
        <v>27.41</v>
      </c>
      <c r="H441" s="128"/>
      <c r="I441" s="128" t="str">
        <f t="shared" si="50"/>
        <v/>
      </c>
      <c r="J441" s="128"/>
      <c r="K441" s="128" t="str">
        <f t="shared" si="51"/>
        <v/>
      </c>
      <c r="L441" s="128"/>
      <c r="M441" s="128" t="str">
        <f t="shared" si="52"/>
        <v/>
      </c>
      <c r="N441" s="148"/>
      <c r="O441" s="128" t="str">
        <f t="shared" si="53"/>
        <v/>
      </c>
      <c r="P441" s="148"/>
      <c r="Q441" s="128" t="str">
        <f t="shared" si="54"/>
        <v/>
      </c>
      <c r="R441" s="148"/>
      <c r="S441" s="128" t="str">
        <f t="shared" si="55"/>
        <v/>
      </c>
      <c r="T441" s="47" t="str">
        <f t="shared" si="48"/>
        <v>OK!</v>
      </c>
    </row>
    <row r="442" spans="2:20" ht="16.5" x14ac:dyDescent="0.3">
      <c r="B442" s="129" t="s">
        <v>2652</v>
      </c>
      <c r="C442" s="128">
        <v>5.18</v>
      </c>
      <c r="D442" s="128">
        <v>9.99</v>
      </c>
      <c r="E442" s="128"/>
      <c r="F442" s="148" t="s">
        <v>2916</v>
      </c>
      <c r="G442" s="128">
        <f t="shared" si="49"/>
        <v>5.18</v>
      </c>
      <c r="H442" s="128"/>
      <c r="I442" s="128" t="str">
        <f t="shared" si="50"/>
        <v/>
      </c>
      <c r="J442" s="128"/>
      <c r="K442" s="128" t="str">
        <f t="shared" si="51"/>
        <v/>
      </c>
      <c r="L442" s="128"/>
      <c r="M442" s="128" t="str">
        <f t="shared" si="52"/>
        <v/>
      </c>
      <c r="N442" s="148"/>
      <c r="O442" s="128" t="str">
        <f t="shared" si="53"/>
        <v/>
      </c>
      <c r="P442" s="148"/>
      <c r="Q442" s="128" t="str">
        <f t="shared" si="54"/>
        <v/>
      </c>
      <c r="R442" s="148"/>
      <c r="S442" s="128" t="str">
        <f t="shared" si="55"/>
        <v/>
      </c>
      <c r="T442" s="47" t="str">
        <f t="shared" si="48"/>
        <v>OK!</v>
      </c>
    </row>
    <row r="443" spans="2:20" ht="16.5" x14ac:dyDescent="0.3">
      <c r="B443" s="129" t="s">
        <v>2678</v>
      </c>
      <c r="C443" s="128">
        <v>5.71</v>
      </c>
      <c r="D443" s="128">
        <v>10.6</v>
      </c>
      <c r="E443" s="128"/>
      <c r="F443" s="148" t="s">
        <v>2916</v>
      </c>
      <c r="G443" s="128">
        <f t="shared" si="49"/>
        <v>5.71</v>
      </c>
      <c r="H443" s="128"/>
      <c r="I443" s="128" t="str">
        <f t="shared" si="50"/>
        <v/>
      </c>
      <c r="J443" s="128"/>
      <c r="K443" s="128" t="str">
        <f t="shared" si="51"/>
        <v/>
      </c>
      <c r="L443" s="128"/>
      <c r="M443" s="128" t="str">
        <f t="shared" si="52"/>
        <v/>
      </c>
      <c r="N443" s="148"/>
      <c r="O443" s="128" t="str">
        <f t="shared" si="53"/>
        <v/>
      </c>
      <c r="P443" s="148"/>
      <c r="Q443" s="128" t="str">
        <f t="shared" si="54"/>
        <v/>
      </c>
      <c r="R443" s="148"/>
      <c r="S443" s="128" t="str">
        <f t="shared" si="55"/>
        <v/>
      </c>
      <c r="T443" s="47" t="str">
        <f t="shared" si="48"/>
        <v>OK!</v>
      </c>
    </row>
    <row r="444" spans="2:20" ht="16.5" x14ac:dyDescent="0.3">
      <c r="B444" s="129" t="s">
        <v>2838</v>
      </c>
      <c r="C444" s="128">
        <v>10.69</v>
      </c>
      <c r="D444" s="128">
        <v>14.12</v>
      </c>
      <c r="E444" s="128"/>
      <c r="F444" s="148" t="s">
        <v>2916</v>
      </c>
      <c r="G444" s="128">
        <f t="shared" si="49"/>
        <v>10.69</v>
      </c>
      <c r="H444" s="128"/>
      <c r="I444" s="128" t="str">
        <f t="shared" si="50"/>
        <v/>
      </c>
      <c r="J444" s="128"/>
      <c r="K444" s="128" t="str">
        <f t="shared" si="51"/>
        <v/>
      </c>
      <c r="L444" s="128"/>
      <c r="M444" s="128" t="str">
        <f t="shared" si="52"/>
        <v/>
      </c>
      <c r="N444" s="148"/>
      <c r="O444" s="128" t="str">
        <f t="shared" si="53"/>
        <v/>
      </c>
      <c r="P444" s="148"/>
      <c r="Q444" s="128" t="str">
        <f t="shared" si="54"/>
        <v/>
      </c>
      <c r="R444" s="148"/>
      <c r="S444" s="128" t="str">
        <f t="shared" si="55"/>
        <v/>
      </c>
      <c r="T444" s="47" t="str">
        <f t="shared" si="48"/>
        <v>OK!</v>
      </c>
    </row>
    <row r="445" spans="2:20" ht="16.5" x14ac:dyDescent="0.3">
      <c r="B445" s="129" t="s">
        <v>2655</v>
      </c>
      <c r="C445" s="128">
        <v>7.24</v>
      </c>
      <c r="D445" s="128">
        <v>10.91</v>
      </c>
      <c r="E445" s="128"/>
      <c r="F445" s="148" t="s">
        <v>2916</v>
      </c>
      <c r="G445" s="128">
        <f t="shared" si="49"/>
        <v>7.24</v>
      </c>
      <c r="H445" s="128"/>
      <c r="I445" s="128" t="str">
        <f t="shared" si="50"/>
        <v/>
      </c>
      <c r="J445" s="128"/>
      <c r="K445" s="128" t="str">
        <f t="shared" si="51"/>
        <v/>
      </c>
      <c r="L445" s="128"/>
      <c r="M445" s="128" t="str">
        <f t="shared" si="52"/>
        <v/>
      </c>
      <c r="N445" s="148"/>
      <c r="O445" s="128" t="str">
        <f t="shared" si="53"/>
        <v/>
      </c>
      <c r="P445" s="148"/>
      <c r="Q445" s="128" t="str">
        <f t="shared" si="54"/>
        <v/>
      </c>
      <c r="R445" s="148"/>
      <c r="S445" s="128" t="str">
        <f t="shared" si="55"/>
        <v/>
      </c>
      <c r="T445" s="47" t="str">
        <f t="shared" si="48"/>
        <v>OK!</v>
      </c>
    </row>
    <row r="446" spans="2:20" ht="16.5" x14ac:dyDescent="0.3">
      <c r="B446" s="129" t="s">
        <v>2822</v>
      </c>
      <c r="C446" s="128">
        <v>7.29</v>
      </c>
      <c r="D446" s="128">
        <v>10.91</v>
      </c>
      <c r="E446" s="128"/>
      <c r="F446" s="148" t="s">
        <v>2916</v>
      </c>
      <c r="G446" s="128">
        <f t="shared" si="49"/>
        <v>7.29</v>
      </c>
      <c r="H446" s="128"/>
      <c r="I446" s="128" t="str">
        <f t="shared" si="50"/>
        <v/>
      </c>
      <c r="J446" s="128"/>
      <c r="K446" s="128" t="str">
        <f t="shared" si="51"/>
        <v/>
      </c>
      <c r="L446" s="128"/>
      <c r="M446" s="128" t="str">
        <f t="shared" si="52"/>
        <v/>
      </c>
      <c r="N446" s="148"/>
      <c r="O446" s="128" t="str">
        <f t="shared" si="53"/>
        <v/>
      </c>
      <c r="P446" s="148"/>
      <c r="Q446" s="128" t="str">
        <f t="shared" si="54"/>
        <v/>
      </c>
      <c r="R446" s="148"/>
      <c r="S446" s="128" t="str">
        <f t="shared" si="55"/>
        <v/>
      </c>
      <c r="T446" s="47" t="str">
        <f t="shared" si="48"/>
        <v>OK!</v>
      </c>
    </row>
    <row r="447" spans="2:20" ht="16.5" x14ac:dyDescent="0.3">
      <c r="B447" s="129" t="s">
        <v>2730</v>
      </c>
      <c r="C447" s="128">
        <v>14.66</v>
      </c>
      <c r="D447" s="128">
        <v>15.62</v>
      </c>
      <c r="E447" s="128">
        <v>1.56</v>
      </c>
      <c r="F447" s="148" t="s">
        <v>2916</v>
      </c>
      <c r="G447" s="128">
        <f t="shared" si="49"/>
        <v>14.66</v>
      </c>
      <c r="H447" s="128"/>
      <c r="I447" s="128" t="str">
        <f t="shared" si="50"/>
        <v/>
      </c>
      <c r="J447" s="128"/>
      <c r="K447" s="128" t="str">
        <f t="shared" si="51"/>
        <v/>
      </c>
      <c r="L447" s="128"/>
      <c r="M447" s="128" t="str">
        <f t="shared" si="52"/>
        <v/>
      </c>
      <c r="N447" s="148"/>
      <c r="O447" s="128" t="str">
        <f t="shared" si="53"/>
        <v/>
      </c>
      <c r="P447" s="148"/>
      <c r="Q447" s="128" t="str">
        <f t="shared" si="54"/>
        <v/>
      </c>
      <c r="R447" s="148"/>
      <c r="S447" s="128" t="str">
        <f t="shared" si="55"/>
        <v/>
      </c>
      <c r="T447" s="47" t="str">
        <f t="shared" si="48"/>
        <v>OK!</v>
      </c>
    </row>
    <row r="448" spans="2:20" ht="16.5" x14ac:dyDescent="0.3">
      <c r="B448" s="129" t="s">
        <v>2666</v>
      </c>
      <c r="C448" s="128">
        <v>4.0999999999999996</v>
      </c>
      <c r="D448" s="128">
        <v>8.6999999999999993</v>
      </c>
      <c r="E448" s="128"/>
      <c r="F448" s="148" t="s">
        <v>2916</v>
      </c>
      <c r="G448" s="128">
        <f t="shared" si="49"/>
        <v>4.0999999999999996</v>
      </c>
      <c r="H448" s="128"/>
      <c r="I448" s="128" t="str">
        <f t="shared" si="50"/>
        <v/>
      </c>
      <c r="J448" s="128"/>
      <c r="K448" s="128" t="str">
        <f t="shared" si="51"/>
        <v/>
      </c>
      <c r="L448" s="128"/>
      <c r="M448" s="128" t="str">
        <f t="shared" si="52"/>
        <v/>
      </c>
      <c r="N448" s="148"/>
      <c r="O448" s="128" t="str">
        <f t="shared" si="53"/>
        <v/>
      </c>
      <c r="P448" s="148"/>
      <c r="Q448" s="128" t="str">
        <f t="shared" si="54"/>
        <v/>
      </c>
      <c r="R448" s="148"/>
      <c r="S448" s="128" t="str">
        <f t="shared" si="55"/>
        <v/>
      </c>
      <c r="T448" s="47" t="str">
        <f t="shared" si="48"/>
        <v>OK!</v>
      </c>
    </row>
    <row r="449" spans="2:20" ht="16.5" x14ac:dyDescent="0.3">
      <c r="B449" s="129" t="s">
        <v>2591</v>
      </c>
      <c r="C449" s="128">
        <v>3.15</v>
      </c>
      <c r="D449" s="128">
        <v>7.1</v>
      </c>
      <c r="E449" s="128"/>
      <c r="F449" s="148" t="s">
        <v>2916</v>
      </c>
      <c r="G449" s="128">
        <f t="shared" si="49"/>
        <v>3.15</v>
      </c>
      <c r="H449" s="128"/>
      <c r="I449" s="128" t="str">
        <f t="shared" si="50"/>
        <v/>
      </c>
      <c r="J449" s="128"/>
      <c r="K449" s="128" t="str">
        <f t="shared" si="51"/>
        <v/>
      </c>
      <c r="L449" s="128"/>
      <c r="M449" s="128" t="str">
        <f t="shared" si="52"/>
        <v/>
      </c>
      <c r="N449" s="148"/>
      <c r="O449" s="128" t="str">
        <f t="shared" si="53"/>
        <v/>
      </c>
      <c r="P449" s="148"/>
      <c r="Q449" s="128" t="str">
        <f t="shared" si="54"/>
        <v/>
      </c>
      <c r="R449" s="148"/>
      <c r="S449" s="128" t="str">
        <f t="shared" si="55"/>
        <v/>
      </c>
      <c r="T449" s="47" t="str">
        <f t="shared" si="48"/>
        <v>OK!</v>
      </c>
    </row>
    <row r="450" spans="2:20" ht="16.5" x14ac:dyDescent="0.3">
      <c r="B450" s="129" t="s">
        <v>2657</v>
      </c>
      <c r="C450" s="128">
        <v>27.96</v>
      </c>
      <c r="D450" s="128">
        <v>22.01</v>
      </c>
      <c r="E450" s="128"/>
      <c r="F450" s="148" t="s">
        <v>2916</v>
      </c>
      <c r="G450" s="128">
        <f t="shared" si="49"/>
        <v>27.96</v>
      </c>
      <c r="H450" s="128"/>
      <c r="I450" s="128" t="str">
        <f t="shared" si="50"/>
        <v/>
      </c>
      <c r="J450" s="128"/>
      <c r="K450" s="128" t="str">
        <f t="shared" si="51"/>
        <v/>
      </c>
      <c r="L450" s="128"/>
      <c r="M450" s="128" t="str">
        <f t="shared" si="52"/>
        <v/>
      </c>
      <c r="N450" s="148"/>
      <c r="O450" s="128" t="str">
        <f t="shared" si="53"/>
        <v/>
      </c>
      <c r="P450" s="148"/>
      <c r="Q450" s="128" t="str">
        <f t="shared" si="54"/>
        <v/>
      </c>
      <c r="R450" s="148"/>
      <c r="S450" s="128" t="str">
        <f t="shared" si="55"/>
        <v/>
      </c>
      <c r="T450" s="47" t="str">
        <f t="shared" si="48"/>
        <v>OK!</v>
      </c>
    </row>
    <row r="451" spans="2:20" ht="16.5" x14ac:dyDescent="0.3">
      <c r="B451" s="129" t="s">
        <v>2658</v>
      </c>
      <c r="C451" s="128">
        <v>5.12</v>
      </c>
      <c r="D451" s="128">
        <v>9.9499999999999993</v>
      </c>
      <c r="E451" s="128"/>
      <c r="F451" s="148" t="s">
        <v>2916</v>
      </c>
      <c r="G451" s="128">
        <f t="shared" si="49"/>
        <v>5.12</v>
      </c>
      <c r="H451" s="128"/>
      <c r="I451" s="128" t="str">
        <f t="shared" si="50"/>
        <v/>
      </c>
      <c r="J451" s="128"/>
      <c r="K451" s="128" t="str">
        <f t="shared" si="51"/>
        <v/>
      </c>
      <c r="L451" s="128"/>
      <c r="M451" s="128" t="str">
        <f t="shared" si="52"/>
        <v/>
      </c>
      <c r="N451" s="148"/>
      <c r="O451" s="128" t="str">
        <f t="shared" si="53"/>
        <v/>
      </c>
      <c r="P451" s="148"/>
      <c r="Q451" s="128" t="str">
        <f t="shared" si="54"/>
        <v/>
      </c>
      <c r="R451" s="148"/>
      <c r="S451" s="128" t="str">
        <f t="shared" si="55"/>
        <v/>
      </c>
      <c r="T451" s="47" t="str">
        <f t="shared" si="48"/>
        <v>OK!</v>
      </c>
    </row>
    <row r="452" spans="2:20" ht="16.5" x14ac:dyDescent="0.3">
      <c r="B452" s="129" t="s">
        <v>2594</v>
      </c>
      <c r="C452" s="128">
        <v>29.91</v>
      </c>
      <c r="D452" s="128">
        <v>31.33</v>
      </c>
      <c r="E452" s="128"/>
      <c r="F452" s="148" t="s">
        <v>2916</v>
      </c>
      <c r="G452" s="128">
        <f t="shared" si="49"/>
        <v>29.91</v>
      </c>
      <c r="H452" s="128"/>
      <c r="I452" s="128" t="str">
        <f t="shared" si="50"/>
        <v/>
      </c>
      <c r="J452" s="128"/>
      <c r="K452" s="128" t="str">
        <f t="shared" si="51"/>
        <v/>
      </c>
      <c r="L452" s="128"/>
      <c r="M452" s="128" t="str">
        <f t="shared" si="52"/>
        <v/>
      </c>
      <c r="N452" s="148"/>
      <c r="O452" s="128" t="str">
        <f t="shared" si="53"/>
        <v/>
      </c>
      <c r="P452" s="148"/>
      <c r="Q452" s="128" t="str">
        <f t="shared" si="54"/>
        <v/>
      </c>
      <c r="R452" s="148"/>
      <c r="S452" s="128" t="str">
        <f t="shared" si="55"/>
        <v/>
      </c>
      <c r="T452" s="47" t="str">
        <f t="shared" si="48"/>
        <v>OK!</v>
      </c>
    </row>
    <row r="453" spans="2:20" ht="16.5" x14ac:dyDescent="0.3">
      <c r="B453" s="129" t="s">
        <v>2824</v>
      </c>
      <c r="C453" s="128">
        <v>12.66</v>
      </c>
      <c r="D453" s="128">
        <v>14.32</v>
      </c>
      <c r="E453" s="128">
        <v>3.1</v>
      </c>
      <c r="F453" s="148" t="s">
        <v>2916</v>
      </c>
      <c r="G453" s="128">
        <f t="shared" si="49"/>
        <v>12.66</v>
      </c>
      <c r="H453" s="128"/>
      <c r="I453" s="128" t="str">
        <f t="shared" si="50"/>
        <v/>
      </c>
      <c r="J453" s="128"/>
      <c r="K453" s="128" t="str">
        <f t="shared" si="51"/>
        <v/>
      </c>
      <c r="L453" s="128"/>
      <c r="M453" s="128" t="str">
        <f t="shared" si="52"/>
        <v/>
      </c>
      <c r="N453" s="148"/>
      <c r="O453" s="128" t="str">
        <f t="shared" si="53"/>
        <v/>
      </c>
      <c r="P453" s="148"/>
      <c r="Q453" s="128" t="str">
        <f t="shared" si="54"/>
        <v/>
      </c>
      <c r="R453" s="148"/>
      <c r="S453" s="128" t="str">
        <f t="shared" si="55"/>
        <v/>
      </c>
      <c r="T453" s="47" t="str">
        <f t="shared" ref="T453:T516" si="56">IF(COUNT(F453:S453)&gt;1,"Corrigir!","OK!")</f>
        <v>OK!</v>
      </c>
    </row>
    <row r="454" spans="2:20" ht="16.5" x14ac:dyDescent="0.3">
      <c r="B454" s="136" t="s">
        <v>2839</v>
      </c>
      <c r="C454" s="128"/>
      <c r="D454" s="128"/>
      <c r="E454" s="128"/>
      <c r="F454" s="148"/>
      <c r="G454" s="128"/>
      <c r="H454" s="128"/>
      <c r="I454" s="128" t="str">
        <f t="shared" ref="I454:I517" si="57">IF(H454="x",$C454,"")</f>
        <v/>
      </c>
      <c r="J454" s="128"/>
      <c r="K454" s="128" t="str">
        <f t="shared" ref="K454:K517" si="58">IF(J454="x",$C454,"")</f>
        <v/>
      </c>
      <c r="L454" s="128"/>
      <c r="M454" s="128" t="str">
        <f t="shared" ref="M454:M517" si="59">IF(L454="x",$C454,"")</f>
        <v/>
      </c>
      <c r="N454" s="148"/>
      <c r="O454" s="128" t="str">
        <f t="shared" ref="O454:O517" si="60">IF(N454="x",$C454,"")</f>
        <v/>
      </c>
      <c r="P454" s="148"/>
      <c r="Q454" s="128" t="str">
        <f t="shared" ref="Q454:Q517" si="61">IF(P454="x",$C454,"")</f>
        <v/>
      </c>
      <c r="R454" s="148"/>
      <c r="S454" s="128" t="str">
        <f t="shared" ref="S454:S517" si="62">IF(R454="x",$C454,"")</f>
        <v/>
      </c>
      <c r="T454" s="47" t="str">
        <f t="shared" si="56"/>
        <v>OK!</v>
      </c>
    </row>
    <row r="455" spans="2:20" ht="16.5" x14ac:dyDescent="0.3">
      <c r="B455" s="129" t="s">
        <v>2642</v>
      </c>
      <c r="C455" s="128">
        <v>25.32</v>
      </c>
      <c r="D455" s="128">
        <v>21.07</v>
      </c>
      <c r="E455" s="128"/>
      <c r="F455" s="148" t="s">
        <v>2916</v>
      </c>
      <c r="G455" s="128">
        <f t="shared" ref="G455:G517" si="63">IF(F455="x",$C455,"")</f>
        <v>25.32</v>
      </c>
      <c r="H455" s="128"/>
      <c r="I455" s="128" t="str">
        <f t="shared" si="57"/>
        <v/>
      </c>
      <c r="J455" s="128"/>
      <c r="K455" s="128" t="str">
        <f t="shared" si="58"/>
        <v/>
      </c>
      <c r="L455" s="128"/>
      <c r="M455" s="128" t="str">
        <f t="shared" si="59"/>
        <v/>
      </c>
      <c r="N455" s="148"/>
      <c r="O455" s="128" t="str">
        <f t="shared" si="60"/>
        <v/>
      </c>
      <c r="P455" s="148"/>
      <c r="Q455" s="128" t="str">
        <f t="shared" si="61"/>
        <v/>
      </c>
      <c r="R455" s="148"/>
      <c r="S455" s="128" t="str">
        <f t="shared" si="62"/>
        <v/>
      </c>
      <c r="T455" s="47" t="str">
        <f t="shared" si="56"/>
        <v>OK!</v>
      </c>
    </row>
    <row r="456" spans="2:20" ht="16.5" x14ac:dyDescent="0.3">
      <c r="B456" s="129" t="s">
        <v>2643</v>
      </c>
      <c r="C456" s="128">
        <v>5.17</v>
      </c>
      <c r="D456" s="128">
        <v>9.99</v>
      </c>
      <c r="E456" s="128"/>
      <c r="F456" s="148" t="s">
        <v>2916</v>
      </c>
      <c r="G456" s="128">
        <f t="shared" si="63"/>
        <v>5.17</v>
      </c>
      <c r="H456" s="128"/>
      <c r="I456" s="128" t="str">
        <f t="shared" si="57"/>
        <v/>
      </c>
      <c r="J456" s="128"/>
      <c r="K456" s="128" t="str">
        <f t="shared" si="58"/>
        <v/>
      </c>
      <c r="L456" s="128"/>
      <c r="M456" s="128" t="str">
        <f t="shared" si="59"/>
        <v/>
      </c>
      <c r="N456" s="148"/>
      <c r="O456" s="128" t="str">
        <f t="shared" si="60"/>
        <v/>
      </c>
      <c r="P456" s="148"/>
      <c r="Q456" s="128" t="str">
        <f t="shared" si="61"/>
        <v/>
      </c>
      <c r="R456" s="148"/>
      <c r="S456" s="128" t="str">
        <f t="shared" si="62"/>
        <v/>
      </c>
      <c r="T456" s="47" t="str">
        <f t="shared" si="56"/>
        <v>OK!</v>
      </c>
    </row>
    <row r="457" spans="2:20" ht="16.5" x14ac:dyDescent="0.3">
      <c r="B457" s="129" t="s">
        <v>2725</v>
      </c>
      <c r="C457" s="128">
        <v>12.83</v>
      </c>
      <c r="D457" s="128">
        <v>17.39</v>
      </c>
      <c r="E457" s="128"/>
      <c r="F457" s="148" t="s">
        <v>2916</v>
      </c>
      <c r="G457" s="128">
        <f t="shared" si="63"/>
        <v>12.83</v>
      </c>
      <c r="H457" s="128"/>
      <c r="I457" s="128" t="str">
        <f t="shared" si="57"/>
        <v/>
      </c>
      <c r="J457" s="128"/>
      <c r="K457" s="128" t="str">
        <f t="shared" si="58"/>
        <v/>
      </c>
      <c r="L457" s="128"/>
      <c r="M457" s="128" t="str">
        <f t="shared" si="59"/>
        <v/>
      </c>
      <c r="N457" s="148"/>
      <c r="O457" s="128" t="str">
        <f t="shared" si="60"/>
        <v/>
      </c>
      <c r="P457" s="148"/>
      <c r="Q457" s="128" t="str">
        <f t="shared" si="61"/>
        <v/>
      </c>
      <c r="R457" s="148"/>
      <c r="S457" s="128" t="str">
        <f t="shared" si="62"/>
        <v/>
      </c>
      <c r="T457" s="47" t="str">
        <f t="shared" si="56"/>
        <v>OK!</v>
      </c>
    </row>
    <row r="458" spans="2:20" ht="16.5" x14ac:dyDescent="0.3">
      <c r="B458" s="129" t="s">
        <v>2660</v>
      </c>
      <c r="C458" s="128">
        <v>2.5099999999999998</v>
      </c>
      <c r="D458" s="128">
        <v>6.35</v>
      </c>
      <c r="E458" s="128"/>
      <c r="F458" s="148" t="s">
        <v>2916</v>
      </c>
      <c r="G458" s="128">
        <f t="shared" si="63"/>
        <v>2.5099999999999998</v>
      </c>
      <c r="H458" s="128"/>
      <c r="I458" s="128" t="str">
        <f t="shared" si="57"/>
        <v/>
      </c>
      <c r="J458" s="128"/>
      <c r="K458" s="128" t="str">
        <f t="shared" si="58"/>
        <v/>
      </c>
      <c r="L458" s="128"/>
      <c r="M458" s="128" t="str">
        <f t="shared" si="59"/>
        <v/>
      </c>
      <c r="N458" s="148"/>
      <c r="O458" s="128" t="str">
        <f t="shared" si="60"/>
        <v/>
      </c>
      <c r="P458" s="148"/>
      <c r="Q458" s="128" t="str">
        <f t="shared" si="61"/>
        <v/>
      </c>
      <c r="R458" s="148"/>
      <c r="S458" s="128" t="str">
        <f t="shared" si="62"/>
        <v/>
      </c>
      <c r="T458" s="47" t="str">
        <f t="shared" si="56"/>
        <v>OK!</v>
      </c>
    </row>
    <row r="459" spans="2:20" ht="16.5" x14ac:dyDescent="0.3">
      <c r="B459" s="129" t="s">
        <v>2661</v>
      </c>
      <c r="C459" s="128">
        <v>2.11</v>
      </c>
      <c r="D459" s="128">
        <v>6.35</v>
      </c>
      <c r="E459" s="128"/>
      <c r="F459" s="148" t="s">
        <v>2916</v>
      </c>
      <c r="G459" s="128">
        <f t="shared" si="63"/>
        <v>2.11</v>
      </c>
      <c r="H459" s="128"/>
      <c r="I459" s="128" t="str">
        <f t="shared" si="57"/>
        <v/>
      </c>
      <c r="J459" s="128"/>
      <c r="K459" s="128" t="str">
        <f t="shared" si="58"/>
        <v/>
      </c>
      <c r="L459" s="128"/>
      <c r="M459" s="128" t="str">
        <f t="shared" si="59"/>
        <v/>
      </c>
      <c r="N459" s="148"/>
      <c r="O459" s="128" t="str">
        <f t="shared" si="60"/>
        <v/>
      </c>
      <c r="P459" s="148"/>
      <c r="Q459" s="128" t="str">
        <f t="shared" si="61"/>
        <v/>
      </c>
      <c r="R459" s="148"/>
      <c r="S459" s="128" t="str">
        <f t="shared" si="62"/>
        <v/>
      </c>
      <c r="T459" s="47" t="str">
        <f t="shared" si="56"/>
        <v>OK!</v>
      </c>
    </row>
    <row r="460" spans="2:20" ht="16.5" x14ac:dyDescent="0.3">
      <c r="B460" s="129" t="s">
        <v>2750</v>
      </c>
      <c r="C460" s="128">
        <v>6.65</v>
      </c>
      <c r="D460" s="128">
        <v>10.47</v>
      </c>
      <c r="E460" s="128"/>
      <c r="F460" s="148" t="s">
        <v>2916</v>
      </c>
      <c r="G460" s="128">
        <f t="shared" si="63"/>
        <v>6.65</v>
      </c>
      <c r="H460" s="128"/>
      <c r="I460" s="128" t="str">
        <f t="shared" si="57"/>
        <v/>
      </c>
      <c r="J460" s="128"/>
      <c r="K460" s="128" t="str">
        <f t="shared" si="58"/>
        <v/>
      </c>
      <c r="L460" s="128"/>
      <c r="M460" s="128" t="str">
        <f t="shared" si="59"/>
        <v/>
      </c>
      <c r="N460" s="148"/>
      <c r="O460" s="128" t="str">
        <f t="shared" si="60"/>
        <v/>
      </c>
      <c r="P460" s="148"/>
      <c r="Q460" s="128" t="str">
        <f t="shared" si="61"/>
        <v/>
      </c>
      <c r="R460" s="148"/>
      <c r="S460" s="128" t="str">
        <f t="shared" si="62"/>
        <v/>
      </c>
      <c r="T460" s="47" t="str">
        <f t="shared" si="56"/>
        <v>OK!</v>
      </c>
    </row>
    <row r="461" spans="2:20" ht="16.5" x14ac:dyDescent="0.3">
      <c r="B461" s="129" t="s">
        <v>2749</v>
      </c>
      <c r="C461" s="128">
        <v>6.71</v>
      </c>
      <c r="D461" s="128">
        <v>10.47</v>
      </c>
      <c r="E461" s="128"/>
      <c r="F461" s="148" t="s">
        <v>2916</v>
      </c>
      <c r="G461" s="128">
        <f t="shared" si="63"/>
        <v>6.71</v>
      </c>
      <c r="H461" s="128"/>
      <c r="I461" s="128" t="str">
        <f t="shared" si="57"/>
        <v/>
      </c>
      <c r="J461" s="128"/>
      <c r="K461" s="128" t="str">
        <f t="shared" si="58"/>
        <v/>
      </c>
      <c r="L461" s="128"/>
      <c r="M461" s="128" t="str">
        <f t="shared" si="59"/>
        <v/>
      </c>
      <c r="N461" s="148"/>
      <c r="O461" s="128" t="str">
        <f t="shared" si="60"/>
        <v/>
      </c>
      <c r="P461" s="148"/>
      <c r="Q461" s="128" t="str">
        <f t="shared" si="61"/>
        <v/>
      </c>
      <c r="R461" s="148"/>
      <c r="S461" s="128" t="str">
        <f t="shared" si="62"/>
        <v/>
      </c>
      <c r="T461" s="47" t="str">
        <f t="shared" si="56"/>
        <v>OK!</v>
      </c>
    </row>
    <row r="462" spans="2:20" ht="16.5" x14ac:dyDescent="0.3">
      <c r="B462" s="129" t="s">
        <v>2591</v>
      </c>
      <c r="C462" s="128">
        <v>3.13</v>
      </c>
      <c r="D462" s="128">
        <v>7.08</v>
      </c>
      <c r="E462" s="128"/>
      <c r="F462" s="148" t="s">
        <v>2916</v>
      </c>
      <c r="G462" s="128">
        <f t="shared" si="63"/>
        <v>3.13</v>
      </c>
      <c r="H462" s="128"/>
      <c r="I462" s="128" t="str">
        <f t="shared" si="57"/>
        <v/>
      </c>
      <c r="J462" s="128"/>
      <c r="K462" s="128" t="str">
        <f t="shared" si="58"/>
        <v/>
      </c>
      <c r="L462" s="128"/>
      <c r="M462" s="128" t="str">
        <f t="shared" si="59"/>
        <v/>
      </c>
      <c r="N462" s="148"/>
      <c r="O462" s="128" t="str">
        <f t="shared" si="60"/>
        <v/>
      </c>
      <c r="P462" s="148"/>
      <c r="Q462" s="128" t="str">
        <f t="shared" si="61"/>
        <v/>
      </c>
      <c r="R462" s="148"/>
      <c r="S462" s="128" t="str">
        <f t="shared" si="62"/>
        <v/>
      </c>
      <c r="T462" s="47" t="str">
        <f t="shared" si="56"/>
        <v>OK!</v>
      </c>
    </row>
    <row r="463" spans="2:20" ht="16.5" x14ac:dyDescent="0.3">
      <c r="B463" s="129" t="s">
        <v>2666</v>
      </c>
      <c r="C463" s="128">
        <v>4.49</v>
      </c>
      <c r="D463" s="128">
        <v>8.73</v>
      </c>
      <c r="E463" s="128"/>
      <c r="F463" s="148" t="s">
        <v>2916</v>
      </c>
      <c r="G463" s="128">
        <f t="shared" si="63"/>
        <v>4.49</v>
      </c>
      <c r="H463" s="128"/>
      <c r="I463" s="128" t="str">
        <f t="shared" si="57"/>
        <v/>
      </c>
      <c r="J463" s="128"/>
      <c r="K463" s="128" t="str">
        <f t="shared" si="58"/>
        <v/>
      </c>
      <c r="L463" s="128"/>
      <c r="M463" s="128" t="str">
        <f t="shared" si="59"/>
        <v/>
      </c>
      <c r="N463" s="148"/>
      <c r="O463" s="128" t="str">
        <f t="shared" si="60"/>
        <v/>
      </c>
      <c r="P463" s="148"/>
      <c r="Q463" s="128" t="str">
        <f t="shared" si="61"/>
        <v/>
      </c>
      <c r="R463" s="148"/>
      <c r="S463" s="128" t="str">
        <f t="shared" si="62"/>
        <v/>
      </c>
      <c r="T463" s="47" t="str">
        <f t="shared" si="56"/>
        <v>OK!</v>
      </c>
    </row>
    <row r="464" spans="2:20" ht="16.5" x14ac:dyDescent="0.3">
      <c r="B464" s="129" t="s">
        <v>2730</v>
      </c>
      <c r="C464" s="128">
        <v>13.54</v>
      </c>
      <c r="D464" s="128">
        <v>15.12</v>
      </c>
      <c r="E464" s="128">
        <v>1.5</v>
      </c>
      <c r="F464" s="148" t="s">
        <v>2916</v>
      </c>
      <c r="G464" s="128">
        <f t="shared" si="63"/>
        <v>13.54</v>
      </c>
      <c r="H464" s="128"/>
      <c r="I464" s="128" t="str">
        <f t="shared" si="57"/>
        <v/>
      </c>
      <c r="J464" s="128"/>
      <c r="K464" s="128" t="str">
        <f t="shared" si="58"/>
        <v/>
      </c>
      <c r="L464" s="128"/>
      <c r="M464" s="128" t="str">
        <f t="shared" si="59"/>
        <v/>
      </c>
      <c r="N464" s="148"/>
      <c r="O464" s="128" t="str">
        <f t="shared" si="60"/>
        <v/>
      </c>
      <c r="P464" s="148"/>
      <c r="Q464" s="128" t="str">
        <f t="shared" si="61"/>
        <v/>
      </c>
      <c r="R464" s="148"/>
      <c r="S464" s="128" t="str">
        <f t="shared" si="62"/>
        <v/>
      </c>
      <c r="T464" s="47" t="str">
        <f t="shared" si="56"/>
        <v>OK!</v>
      </c>
    </row>
    <row r="465" spans="2:20" ht="16.5" x14ac:dyDescent="0.3">
      <c r="B465" s="129" t="s">
        <v>2669</v>
      </c>
      <c r="C465" s="128">
        <v>6.85</v>
      </c>
      <c r="D465" s="128">
        <v>11.95</v>
      </c>
      <c r="E465" s="128"/>
      <c r="F465" s="148" t="s">
        <v>2916</v>
      </c>
      <c r="G465" s="128">
        <f t="shared" si="63"/>
        <v>6.85</v>
      </c>
      <c r="H465" s="128"/>
      <c r="I465" s="128" t="str">
        <f t="shared" si="57"/>
        <v/>
      </c>
      <c r="J465" s="128"/>
      <c r="K465" s="128" t="str">
        <f t="shared" si="58"/>
        <v/>
      </c>
      <c r="L465" s="128"/>
      <c r="M465" s="128" t="str">
        <f t="shared" si="59"/>
        <v/>
      </c>
      <c r="N465" s="148"/>
      <c r="O465" s="128" t="str">
        <f t="shared" si="60"/>
        <v/>
      </c>
      <c r="P465" s="148"/>
      <c r="Q465" s="128" t="str">
        <f t="shared" si="61"/>
        <v/>
      </c>
      <c r="R465" s="148"/>
      <c r="S465" s="128" t="str">
        <f t="shared" si="62"/>
        <v/>
      </c>
      <c r="T465" s="47" t="str">
        <f t="shared" si="56"/>
        <v>OK!</v>
      </c>
    </row>
    <row r="466" spans="2:20" ht="16.5" x14ac:dyDescent="0.3">
      <c r="B466" s="129" t="s">
        <v>2670</v>
      </c>
      <c r="C466" s="128">
        <v>19.02</v>
      </c>
      <c r="D466" s="128">
        <v>20.95</v>
      </c>
      <c r="E466" s="128"/>
      <c r="F466" s="148" t="s">
        <v>2916</v>
      </c>
      <c r="G466" s="128">
        <f t="shared" si="63"/>
        <v>19.02</v>
      </c>
      <c r="H466" s="128"/>
      <c r="I466" s="128" t="str">
        <f t="shared" si="57"/>
        <v/>
      </c>
      <c r="J466" s="128"/>
      <c r="K466" s="128" t="str">
        <f t="shared" si="58"/>
        <v/>
      </c>
      <c r="L466" s="128"/>
      <c r="M466" s="128" t="str">
        <f t="shared" si="59"/>
        <v/>
      </c>
      <c r="N466" s="148"/>
      <c r="O466" s="128" t="str">
        <f t="shared" si="60"/>
        <v/>
      </c>
      <c r="P466" s="148"/>
      <c r="Q466" s="128" t="str">
        <f t="shared" si="61"/>
        <v/>
      </c>
      <c r="R466" s="148"/>
      <c r="S466" s="128" t="str">
        <f t="shared" si="62"/>
        <v/>
      </c>
      <c r="T466" s="47" t="str">
        <f t="shared" si="56"/>
        <v>OK!</v>
      </c>
    </row>
    <row r="467" spans="2:20" ht="16.5" x14ac:dyDescent="0.3">
      <c r="B467" s="129" t="s">
        <v>2594</v>
      </c>
      <c r="C467" s="128">
        <v>61.84</v>
      </c>
      <c r="D467" s="128">
        <v>60.36</v>
      </c>
      <c r="E467" s="128"/>
      <c r="F467" s="148" t="s">
        <v>2916</v>
      </c>
      <c r="G467" s="128">
        <f t="shared" si="63"/>
        <v>61.84</v>
      </c>
      <c r="H467" s="128"/>
      <c r="I467" s="128" t="str">
        <f t="shared" si="57"/>
        <v/>
      </c>
      <c r="J467" s="128"/>
      <c r="K467" s="128" t="str">
        <f t="shared" si="58"/>
        <v/>
      </c>
      <c r="L467" s="128"/>
      <c r="M467" s="128" t="str">
        <f t="shared" si="59"/>
        <v/>
      </c>
      <c r="N467" s="148"/>
      <c r="O467" s="128" t="str">
        <f t="shared" si="60"/>
        <v/>
      </c>
      <c r="P467" s="148"/>
      <c r="Q467" s="128" t="str">
        <f t="shared" si="61"/>
        <v/>
      </c>
      <c r="R467" s="148"/>
      <c r="S467" s="128" t="str">
        <f t="shared" si="62"/>
        <v/>
      </c>
      <c r="T467" s="47" t="str">
        <f t="shared" si="56"/>
        <v>OK!</v>
      </c>
    </row>
    <row r="468" spans="2:20" ht="16.5" x14ac:dyDescent="0.3">
      <c r="B468" s="129" t="s">
        <v>2644</v>
      </c>
      <c r="C468" s="128">
        <v>28.36</v>
      </c>
      <c r="D468" s="128">
        <v>22.06</v>
      </c>
      <c r="E468" s="128"/>
      <c r="F468" s="148" t="s">
        <v>2916</v>
      </c>
      <c r="G468" s="128">
        <f t="shared" si="63"/>
        <v>28.36</v>
      </c>
      <c r="H468" s="128"/>
      <c r="I468" s="128" t="str">
        <f t="shared" si="57"/>
        <v/>
      </c>
      <c r="J468" s="128"/>
      <c r="K468" s="128" t="str">
        <f t="shared" si="58"/>
        <v/>
      </c>
      <c r="L468" s="128"/>
      <c r="M468" s="128" t="str">
        <f t="shared" si="59"/>
        <v/>
      </c>
      <c r="N468" s="148"/>
      <c r="O468" s="128" t="str">
        <f t="shared" si="60"/>
        <v/>
      </c>
      <c r="P468" s="148"/>
      <c r="Q468" s="128" t="str">
        <f t="shared" si="61"/>
        <v/>
      </c>
      <c r="R468" s="148"/>
      <c r="S468" s="128" t="str">
        <f t="shared" si="62"/>
        <v/>
      </c>
      <c r="T468" s="47" t="str">
        <f t="shared" si="56"/>
        <v>OK!</v>
      </c>
    </row>
    <row r="469" spans="2:20" ht="16.5" x14ac:dyDescent="0.3">
      <c r="B469" s="129" t="s">
        <v>2645</v>
      </c>
      <c r="C469" s="128">
        <v>5.18</v>
      </c>
      <c r="D469" s="128">
        <v>9.99</v>
      </c>
      <c r="E469" s="128"/>
      <c r="F469" s="148" t="s">
        <v>2916</v>
      </c>
      <c r="G469" s="128">
        <f t="shared" si="63"/>
        <v>5.18</v>
      </c>
      <c r="H469" s="128"/>
      <c r="I469" s="128" t="str">
        <f t="shared" si="57"/>
        <v/>
      </c>
      <c r="J469" s="128"/>
      <c r="K469" s="128" t="str">
        <f t="shared" si="58"/>
        <v/>
      </c>
      <c r="L469" s="128"/>
      <c r="M469" s="128" t="str">
        <f t="shared" si="59"/>
        <v/>
      </c>
      <c r="N469" s="148"/>
      <c r="O469" s="128" t="str">
        <f t="shared" si="60"/>
        <v/>
      </c>
      <c r="P469" s="148"/>
      <c r="Q469" s="128" t="str">
        <f t="shared" si="61"/>
        <v/>
      </c>
      <c r="R469" s="148"/>
      <c r="S469" s="128" t="str">
        <f t="shared" si="62"/>
        <v/>
      </c>
      <c r="T469" s="47" t="str">
        <f t="shared" si="56"/>
        <v>OK!</v>
      </c>
    </row>
    <row r="470" spans="2:20" ht="16.5" x14ac:dyDescent="0.3">
      <c r="B470" s="129" t="s">
        <v>2646</v>
      </c>
      <c r="C470" s="128">
        <v>28.45</v>
      </c>
      <c r="D470" s="128">
        <v>22.12</v>
      </c>
      <c r="E470" s="128"/>
      <c r="F470" s="148" t="s">
        <v>2916</v>
      </c>
      <c r="G470" s="128">
        <f t="shared" si="63"/>
        <v>28.45</v>
      </c>
      <c r="H470" s="128"/>
      <c r="I470" s="128" t="str">
        <f t="shared" si="57"/>
        <v/>
      </c>
      <c r="J470" s="128"/>
      <c r="K470" s="128" t="str">
        <f t="shared" si="58"/>
        <v/>
      </c>
      <c r="L470" s="128"/>
      <c r="M470" s="128" t="str">
        <f t="shared" si="59"/>
        <v/>
      </c>
      <c r="N470" s="148"/>
      <c r="O470" s="128" t="str">
        <f t="shared" si="60"/>
        <v/>
      </c>
      <c r="P470" s="148"/>
      <c r="Q470" s="128" t="str">
        <f t="shared" si="61"/>
        <v/>
      </c>
      <c r="R470" s="148"/>
      <c r="S470" s="128" t="str">
        <f t="shared" si="62"/>
        <v/>
      </c>
      <c r="T470" s="47" t="str">
        <f t="shared" si="56"/>
        <v>OK!</v>
      </c>
    </row>
    <row r="471" spans="2:20" ht="16.5" x14ac:dyDescent="0.3">
      <c r="B471" s="129" t="s">
        <v>2647</v>
      </c>
      <c r="C471" s="128">
        <v>5.18</v>
      </c>
      <c r="D471" s="128">
        <v>9.99</v>
      </c>
      <c r="E471" s="128"/>
      <c r="F471" s="148" t="s">
        <v>2916</v>
      </c>
      <c r="G471" s="128">
        <f t="shared" si="63"/>
        <v>5.18</v>
      </c>
      <c r="H471" s="128"/>
      <c r="I471" s="128" t="str">
        <f t="shared" si="57"/>
        <v/>
      </c>
      <c r="J471" s="128"/>
      <c r="K471" s="128" t="str">
        <f t="shared" si="58"/>
        <v/>
      </c>
      <c r="L471" s="128"/>
      <c r="M471" s="128" t="str">
        <f t="shared" si="59"/>
        <v/>
      </c>
      <c r="N471" s="148"/>
      <c r="O471" s="128" t="str">
        <f t="shared" si="60"/>
        <v/>
      </c>
      <c r="P471" s="148"/>
      <c r="Q471" s="128" t="str">
        <f t="shared" si="61"/>
        <v/>
      </c>
      <c r="R471" s="148"/>
      <c r="S471" s="128" t="str">
        <f t="shared" si="62"/>
        <v/>
      </c>
      <c r="T471" s="47" t="str">
        <f t="shared" si="56"/>
        <v>OK!</v>
      </c>
    </row>
    <row r="472" spans="2:20" ht="16.5" x14ac:dyDescent="0.3">
      <c r="B472" s="129" t="s">
        <v>2677</v>
      </c>
      <c r="C472" s="128">
        <v>24.23</v>
      </c>
      <c r="D472" s="128">
        <v>20.55</v>
      </c>
      <c r="E472" s="128"/>
      <c r="F472" s="148" t="s">
        <v>2916</v>
      </c>
      <c r="G472" s="128">
        <f t="shared" si="63"/>
        <v>24.23</v>
      </c>
      <c r="H472" s="128"/>
      <c r="I472" s="128" t="str">
        <f t="shared" si="57"/>
        <v/>
      </c>
      <c r="J472" s="128"/>
      <c r="K472" s="128" t="str">
        <f t="shared" si="58"/>
        <v/>
      </c>
      <c r="L472" s="128"/>
      <c r="M472" s="128" t="str">
        <f t="shared" si="59"/>
        <v/>
      </c>
      <c r="N472" s="148"/>
      <c r="O472" s="128" t="str">
        <f t="shared" si="60"/>
        <v/>
      </c>
      <c r="P472" s="148"/>
      <c r="Q472" s="128" t="str">
        <f t="shared" si="61"/>
        <v/>
      </c>
      <c r="R472" s="148"/>
      <c r="S472" s="128" t="str">
        <f t="shared" si="62"/>
        <v/>
      </c>
      <c r="T472" s="47" t="str">
        <f t="shared" si="56"/>
        <v>OK!</v>
      </c>
    </row>
    <row r="473" spans="2:20" ht="16.5" x14ac:dyDescent="0.3">
      <c r="B473" s="129" t="s">
        <v>2678</v>
      </c>
      <c r="C473" s="128">
        <v>5.71</v>
      </c>
      <c r="D473" s="128">
        <v>10.6</v>
      </c>
      <c r="E473" s="128"/>
      <c r="F473" s="148" t="s">
        <v>2916</v>
      </c>
      <c r="G473" s="128">
        <f t="shared" si="63"/>
        <v>5.71</v>
      </c>
      <c r="H473" s="128"/>
      <c r="I473" s="128" t="str">
        <f t="shared" si="57"/>
        <v/>
      </c>
      <c r="J473" s="128"/>
      <c r="K473" s="128" t="str">
        <f t="shared" si="58"/>
        <v/>
      </c>
      <c r="L473" s="128"/>
      <c r="M473" s="128" t="str">
        <f t="shared" si="59"/>
        <v/>
      </c>
      <c r="N473" s="148"/>
      <c r="O473" s="128" t="str">
        <f t="shared" si="60"/>
        <v/>
      </c>
      <c r="P473" s="148"/>
      <c r="Q473" s="128" t="str">
        <f t="shared" si="61"/>
        <v/>
      </c>
      <c r="R473" s="148"/>
      <c r="S473" s="128" t="str">
        <f t="shared" si="62"/>
        <v/>
      </c>
      <c r="T473" s="47" t="str">
        <f t="shared" si="56"/>
        <v>OK!</v>
      </c>
    </row>
    <row r="474" spans="2:20" ht="16.5" x14ac:dyDescent="0.3">
      <c r="B474" s="129" t="s">
        <v>2598</v>
      </c>
      <c r="C474" s="128">
        <v>3.28</v>
      </c>
      <c r="D474" s="128">
        <v>7.54</v>
      </c>
      <c r="E474" s="128"/>
      <c r="F474" s="148" t="s">
        <v>2916</v>
      </c>
      <c r="G474" s="128">
        <f t="shared" si="63"/>
        <v>3.28</v>
      </c>
      <c r="H474" s="128"/>
      <c r="I474" s="128" t="str">
        <f t="shared" si="57"/>
        <v/>
      </c>
      <c r="J474" s="128"/>
      <c r="K474" s="128" t="str">
        <f t="shared" si="58"/>
        <v/>
      </c>
      <c r="L474" s="128"/>
      <c r="M474" s="128" t="str">
        <f t="shared" si="59"/>
        <v/>
      </c>
      <c r="N474" s="148"/>
      <c r="O474" s="128" t="str">
        <f t="shared" si="60"/>
        <v/>
      </c>
      <c r="P474" s="148"/>
      <c r="Q474" s="128" t="str">
        <f t="shared" si="61"/>
        <v/>
      </c>
      <c r="R474" s="148"/>
      <c r="S474" s="128" t="str">
        <f t="shared" si="62"/>
        <v/>
      </c>
      <c r="T474" s="47" t="str">
        <f t="shared" si="56"/>
        <v>OK!</v>
      </c>
    </row>
    <row r="475" spans="2:20" ht="16.5" x14ac:dyDescent="0.3">
      <c r="B475" s="129" t="s">
        <v>2648</v>
      </c>
      <c r="C475" s="128">
        <v>28.92</v>
      </c>
      <c r="D475" s="128">
        <v>22.31</v>
      </c>
      <c r="E475" s="128"/>
      <c r="F475" s="148" t="s">
        <v>2916</v>
      </c>
      <c r="G475" s="128">
        <f t="shared" si="63"/>
        <v>28.92</v>
      </c>
      <c r="H475" s="128"/>
      <c r="I475" s="128" t="str">
        <f t="shared" si="57"/>
        <v/>
      </c>
      <c r="J475" s="128"/>
      <c r="K475" s="128" t="str">
        <f t="shared" si="58"/>
        <v/>
      </c>
      <c r="L475" s="128"/>
      <c r="M475" s="128" t="str">
        <f t="shared" si="59"/>
        <v/>
      </c>
      <c r="N475" s="148"/>
      <c r="O475" s="128" t="str">
        <f t="shared" si="60"/>
        <v/>
      </c>
      <c r="P475" s="148"/>
      <c r="Q475" s="128" t="str">
        <f t="shared" si="61"/>
        <v/>
      </c>
      <c r="R475" s="148"/>
      <c r="S475" s="128" t="str">
        <f t="shared" si="62"/>
        <v/>
      </c>
      <c r="T475" s="47" t="str">
        <f t="shared" si="56"/>
        <v>OK!</v>
      </c>
    </row>
    <row r="476" spans="2:20" ht="16.5" x14ac:dyDescent="0.3">
      <c r="B476" s="129" t="s">
        <v>2649</v>
      </c>
      <c r="C476" s="128">
        <v>5.18</v>
      </c>
      <c r="D476" s="128">
        <v>9.99</v>
      </c>
      <c r="E476" s="128"/>
      <c r="F476" s="148" t="s">
        <v>2916</v>
      </c>
      <c r="G476" s="128">
        <f t="shared" si="63"/>
        <v>5.18</v>
      </c>
      <c r="H476" s="128"/>
      <c r="I476" s="128" t="str">
        <f t="shared" si="57"/>
        <v/>
      </c>
      <c r="J476" s="128"/>
      <c r="K476" s="128" t="str">
        <f t="shared" si="58"/>
        <v/>
      </c>
      <c r="L476" s="128"/>
      <c r="M476" s="128" t="str">
        <f t="shared" si="59"/>
        <v/>
      </c>
      <c r="N476" s="148"/>
      <c r="O476" s="128" t="str">
        <f t="shared" si="60"/>
        <v/>
      </c>
      <c r="P476" s="148"/>
      <c r="Q476" s="128" t="str">
        <f t="shared" si="61"/>
        <v/>
      </c>
      <c r="R476" s="148"/>
      <c r="S476" s="128" t="str">
        <f t="shared" si="62"/>
        <v/>
      </c>
      <c r="T476" s="47" t="str">
        <f t="shared" si="56"/>
        <v>OK!</v>
      </c>
    </row>
    <row r="477" spans="2:20" ht="16.5" x14ac:dyDescent="0.3">
      <c r="B477" s="136" t="s">
        <v>2840</v>
      </c>
      <c r="C477" s="128"/>
      <c r="D477" s="128"/>
      <c r="E477" s="128"/>
      <c r="F477" s="148"/>
      <c r="G477" s="128"/>
      <c r="H477" s="128"/>
      <c r="I477" s="128" t="str">
        <f t="shared" si="57"/>
        <v/>
      </c>
      <c r="J477" s="128"/>
      <c r="K477" s="128" t="str">
        <f t="shared" si="58"/>
        <v/>
      </c>
      <c r="L477" s="128"/>
      <c r="M477" s="128" t="str">
        <f t="shared" si="59"/>
        <v/>
      </c>
      <c r="N477" s="148"/>
      <c r="O477" s="128" t="str">
        <f t="shared" si="60"/>
        <v/>
      </c>
      <c r="P477" s="148"/>
      <c r="Q477" s="128" t="str">
        <f t="shared" si="61"/>
        <v/>
      </c>
      <c r="R477" s="148"/>
      <c r="S477" s="128" t="str">
        <f t="shared" si="62"/>
        <v/>
      </c>
      <c r="T477" s="47" t="str">
        <f t="shared" si="56"/>
        <v>OK!</v>
      </c>
    </row>
    <row r="478" spans="2:20" ht="16.5" x14ac:dyDescent="0.3">
      <c r="B478" s="129" t="s">
        <v>2841</v>
      </c>
      <c r="C478" s="128">
        <v>107.15</v>
      </c>
      <c r="D478" s="128">
        <v>49.37</v>
      </c>
      <c r="E478" s="128">
        <f>15.49+2.2</f>
        <v>17.690000000000001</v>
      </c>
      <c r="F478" s="148" t="s">
        <v>2916</v>
      </c>
      <c r="G478" s="128">
        <f t="shared" si="63"/>
        <v>107.15</v>
      </c>
      <c r="H478" s="128"/>
      <c r="I478" s="128" t="str">
        <f t="shared" si="57"/>
        <v/>
      </c>
      <c r="J478" s="128"/>
      <c r="K478" s="128" t="str">
        <f t="shared" si="58"/>
        <v/>
      </c>
      <c r="L478" s="128"/>
      <c r="M478" s="128" t="str">
        <f t="shared" si="59"/>
        <v/>
      </c>
      <c r="N478" s="148"/>
      <c r="O478" s="128" t="str">
        <f t="shared" si="60"/>
        <v/>
      </c>
      <c r="P478" s="148"/>
      <c r="Q478" s="128" t="str">
        <f t="shared" si="61"/>
        <v/>
      </c>
      <c r="R478" s="148"/>
      <c r="S478" s="128" t="str">
        <f t="shared" si="62"/>
        <v/>
      </c>
      <c r="T478" s="47" t="str">
        <f t="shared" si="56"/>
        <v>OK!</v>
      </c>
    </row>
    <row r="479" spans="2:20" ht="16.5" x14ac:dyDescent="0.3">
      <c r="B479" s="129" t="s">
        <v>2842</v>
      </c>
      <c r="C479" s="128">
        <v>14.65</v>
      </c>
      <c r="D479" s="128">
        <v>16.309999999999999</v>
      </c>
      <c r="E479" s="128"/>
      <c r="F479" s="148" t="s">
        <v>2916</v>
      </c>
      <c r="G479" s="128">
        <f t="shared" si="63"/>
        <v>14.65</v>
      </c>
      <c r="H479" s="128"/>
      <c r="I479" s="128" t="str">
        <f t="shared" si="57"/>
        <v/>
      </c>
      <c r="J479" s="128"/>
      <c r="K479" s="128" t="str">
        <f t="shared" si="58"/>
        <v/>
      </c>
      <c r="L479" s="128"/>
      <c r="M479" s="128" t="str">
        <f t="shared" si="59"/>
        <v/>
      </c>
      <c r="N479" s="148"/>
      <c r="O479" s="128" t="str">
        <f t="shared" si="60"/>
        <v/>
      </c>
      <c r="P479" s="148"/>
      <c r="Q479" s="128" t="str">
        <f t="shared" si="61"/>
        <v/>
      </c>
      <c r="R479" s="148"/>
      <c r="S479" s="128" t="str">
        <f t="shared" si="62"/>
        <v/>
      </c>
      <c r="T479" s="47" t="str">
        <f t="shared" si="56"/>
        <v>OK!</v>
      </c>
    </row>
    <row r="480" spans="2:20" ht="16.5" x14ac:dyDescent="0.3">
      <c r="B480" s="129" t="s">
        <v>2591</v>
      </c>
      <c r="C480" s="128">
        <v>2.85</v>
      </c>
      <c r="D480" s="128">
        <v>7.7</v>
      </c>
      <c r="E480" s="128"/>
      <c r="F480" s="148" t="s">
        <v>2916</v>
      </c>
      <c r="G480" s="128">
        <f t="shared" si="63"/>
        <v>2.85</v>
      </c>
      <c r="H480" s="128"/>
      <c r="I480" s="128" t="str">
        <f t="shared" si="57"/>
        <v/>
      </c>
      <c r="J480" s="128"/>
      <c r="K480" s="128" t="str">
        <f t="shared" si="58"/>
        <v/>
      </c>
      <c r="L480" s="128"/>
      <c r="M480" s="128" t="str">
        <f t="shared" si="59"/>
        <v/>
      </c>
      <c r="N480" s="148"/>
      <c r="O480" s="128" t="str">
        <f t="shared" si="60"/>
        <v/>
      </c>
      <c r="P480" s="148"/>
      <c r="Q480" s="128" t="str">
        <f t="shared" si="61"/>
        <v/>
      </c>
      <c r="R480" s="148"/>
      <c r="S480" s="128" t="str">
        <f t="shared" si="62"/>
        <v/>
      </c>
      <c r="T480" s="47" t="str">
        <f t="shared" si="56"/>
        <v>OK!</v>
      </c>
    </row>
    <row r="481" spans="2:20" ht="16.5" x14ac:dyDescent="0.3">
      <c r="B481" s="129" t="s">
        <v>2843</v>
      </c>
      <c r="C481" s="128">
        <v>14.72</v>
      </c>
      <c r="D481" s="128">
        <v>16.059999999999999</v>
      </c>
      <c r="E481" s="128"/>
      <c r="F481" s="148" t="s">
        <v>2916</v>
      </c>
      <c r="G481" s="128">
        <f t="shared" si="63"/>
        <v>14.72</v>
      </c>
      <c r="H481" s="128"/>
      <c r="I481" s="128" t="str">
        <f t="shared" si="57"/>
        <v/>
      </c>
      <c r="J481" s="128"/>
      <c r="K481" s="128" t="str">
        <f t="shared" si="58"/>
        <v/>
      </c>
      <c r="L481" s="128"/>
      <c r="M481" s="128" t="str">
        <f t="shared" si="59"/>
        <v/>
      </c>
      <c r="N481" s="148"/>
      <c r="O481" s="128" t="str">
        <f t="shared" si="60"/>
        <v/>
      </c>
      <c r="P481" s="148"/>
      <c r="Q481" s="128" t="str">
        <f t="shared" si="61"/>
        <v/>
      </c>
      <c r="R481" s="148"/>
      <c r="S481" s="128" t="str">
        <f t="shared" si="62"/>
        <v/>
      </c>
      <c r="T481" s="47" t="str">
        <f t="shared" si="56"/>
        <v>OK!</v>
      </c>
    </row>
    <row r="482" spans="2:20" ht="16.5" x14ac:dyDescent="0.3">
      <c r="B482" s="129" t="s">
        <v>2611</v>
      </c>
      <c r="C482" s="128">
        <v>3.47</v>
      </c>
      <c r="D482" s="128">
        <v>8.6999999999999993</v>
      </c>
      <c r="E482" s="128"/>
      <c r="F482" s="148" t="s">
        <v>2916</v>
      </c>
      <c r="G482" s="128">
        <f t="shared" si="63"/>
        <v>3.47</v>
      </c>
      <c r="H482" s="128"/>
      <c r="I482" s="128" t="str">
        <f t="shared" si="57"/>
        <v/>
      </c>
      <c r="J482" s="128"/>
      <c r="K482" s="128" t="str">
        <f t="shared" si="58"/>
        <v/>
      </c>
      <c r="L482" s="128"/>
      <c r="M482" s="128" t="str">
        <f t="shared" si="59"/>
        <v/>
      </c>
      <c r="N482" s="148"/>
      <c r="O482" s="128" t="str">
        <f t="shared" si="60"/>
        <v/>
      </c>
      <c r="P482" s="148"/>
      <c r="Q482" s="128" t="str">
        <f t="shared" si="61"/>
        <v/>
      </c>
      <c r="R482" s="148"/>
      <c r="S482" s="128" t="str">
        <f t="shared" si="62"/>
        <v/>
      </c>
      <c r="T482" s="47" t="str">
        <f t="shared" si="56"/>
        <v>OK!</v>
      </c>
    </row>
    <row r="483" spans="2:20" ht="16.5" x14ac:dyDescent="0.3">
      <c r="B483" s="129" t="s">
        <v>2844</v>
      </c>
      <c r="C483" s="128">
        <v>101.84</v>
      </c>
      <c r="D483" s="128">
        <v>65.290000000000006</v>
      </c>
      <c r="E483" s="128"/>
      <c r="F483" s="148" t="s">
        <v>2916</v>
      </c>
      <c r="G483" s="128">
        <f t="shared" si="63"/>
        <v>101.84</v>
      </c>
      <c r="H483" s="128"/>
      <c r="I483" s="128" t="str">
        <f t="shared" si="57"/>
        <v/>
      </c>
      <c r="J483" s="128"/>
      <c r="K483" s="128" t="str">
        <f t="shared" si="58"/>
        <v/>
      </c>
      <c r="L483" s="128"/>
      <c r="M483" s="128" t="str">
        <f t="shared" si="59"/>
        <v/>
      </c>
      <c r="N483" s="148"/>
      <c r="O483" s="128" t="str">
        <f t="shared" si="60"/>
        <v/>
      </c>
      <c r="P483" s="148"/>
      <c r="Q483" s="128" t="str">
        <f t="shared" si="61"/>
        <v/>
      </c>
      <c r="R483" s="148"/>
      <c r="S483" s="128" t="str">
        <f t="shared" si="62"/>
        <v/>
      </c>
      <c r="T483" s="47" t="str">
        <f t="shared" si="56"/>
        <v>OK!</v>
      </c>
    </row>
    <row r="484" spans="2:20" ht="16.5" x14ac:dyDescent="0.3">
      <c r="B484" s="129" t="s">
        <v>2845</v>
      </c>
      <c r="C484" s="128">
        <v>5.0199999999999996</v>
      </c>
      <c r="D484" s="128">
        <v>8.9600000000000009</v>
      </c>
      <c r="E484" s="128"/>
      <c r="F484" s="148" t="s">
        <v>2916</v>
      </c>
      <c r="G484" s="128">
        <f t="shared" si="63"/>
        <v>5.0199999999999996</v>
      </c>
      <c r="H484" s="128"/>
      <c r="I484" s="128" t="str">
        <f t="shared" si="57"/>
        <v/>
      </c>
      <c r="J484" s="128"/>
      <c r="K484" s="128" t="str">
        <f t="shared" si="58"/>
        <v/>
      </c>
      <c r="L484" s="128"/>
      <c r="M484" s="128" t="str">
        <f t="shared" si="59"/>
        <v/>
      </c>
      <c r="N484" s="148"/>
      <c r="O484" s="128" t="str">
        <f t="shared" si="60"/>
        <v/>
      </c>
      <c r="P484" s="148"/>
      <c r="Q484" s="128" t="str">
        <f t="shared" si="61"/>
        <v/>
      </c>
      <c r="R484" s="148"/>
      <c r="S484" s="128" t="str">
        <f t="shared" si="62"/>
        <v/>
      </c>
      <c r="T484" s="47" t="str">
        <f t="shared" si="56"/>
        <v>OK!</v>
      </c>
    </row>
    <row r="485" spans="2:20" ht="16.5" x14ac:dyDescent="0.3">
      <c r="B485" s="129" t="s">
        <v>2846</v>
      </c>
      <c r="C485" s="128">
        <v>5.0199999999999996</v>
      </c>
      <c r="D485" s="128">
        <v>8.9600000000000009</v>
      </c>
      <c r="E485" s="128"/>
      <c r="F485" s="148" t="s">
        <v>2916</v>
      </c>
      <c r="G485" s="128">
        <f t="shared" si="63"/>
        <v>5.0199999999999996</v>
      </c>
      <c r="H485" s="128"/>
      <c r="I485" s="128" t="str">
        <f t="shared" si="57"/>
        <v/>
      </c>
      <c r="J485" s="128"/>
      <c r="K485" s="128" t="str">
        <f t="shared" si="58"/>
        <v/>
      </c>
      <c r="L485" s="128"/>
      <c r="M485" s="128" t="str">
        <f t="shared" si="59"/>
        <v/>
      </c>
      <c r="N485" s="148"/>
      <c r="O485" s="128" t="str">
        <f t="shared" si="60"/>
        <v/>
      </c>
      <c r="P485" s="148"/>
      <c r="Q485" s="128" t="str">
        <f t="shared" si="61"/>
        <v/>
      </c>
      <c r="R485" s="148"/>
      <c r="S485" s="128" t="str">
        <f t="shared" si="62"/>
        <v/>
      </c>
      <c r="T485" s="47" t="str">
        <f t="shared" si="56"/>
        <v>OK!</v>
      </c>
    </row>
    <row r="486" spans="2:20" ht="16.5" x14ac:dyDescent="0.3">
      <c r="B486" s="129" t="s">
        <v>2847</v>
      </c>
      <c r="C486" s="128">
        <v>259.33999999999997</v>
      </c>
      <c r="D486" s="128">
        <v>75.81</v>
      </c>
      <c r="E486" s="128"/>
      <c r="F486" s="148" t="s">
        <v>2916</v>
      </c>
      <c r="G486" s="128">
        <f t="shared" si="63"/>
        <v>259.33999999999997</v>
      </c>
      <c r="H486" s="128"/>
      <c r="I486" s="128" t="str">
        <f t="shared" si="57"/>
        <v/>
      </c>
      <c r="J486" s="128"/>
      <c r="K486" s="128" t="str">
        <f t="shared" si="58"/>
        <v/>
      </c>
      <c r="L486" s="128"/>
      <c r="M486" s="128" t="str">
        <f t="shared" si="59"/>
        <v/>
      </c>
      <c r="N486" s="148"/>
      <c r="O486" s="128" t="str">
        <f t="shared" si="60"/>
        <v/>
      </c>
      <c r="P486" s="148"/>
      <c r="Q486" s="128" t="str">
        <f t="shared" si="61"/>
        <v/>
      </c>
      <c r="R486" s="148"/>
      <c r="S486" s="128" t="str">
        <f t="shared" si="62"/>
        <v/>
      </c>
      <c r="T486" s="47" t="str">
        <f t="shared" si="56"/>
        <v>OK!</v>
      </c>
    </row>
    <row r="487" spans="2:20" ht="16.5" x14ac:dyDescent="0.3">
      <c r="B487" s="129" t="s">
        <v>2848</v>
      </c>
      <c r="C487" s="128">
        <v>7.35</v>
      </c>
      <c r="D487" s="128">
        <v>12.06</v>
      </c>
      <c r="E487" s="128"/>
      <c r="F487" s="148" t="s">
        <v>2916</v>
      </c>
      <c r="G487" s="128">
        <f t="shared" si="63"/>
        <v>7.35</v>
      </c>
      <c r="H487" s="128"/>
      <c r="I487" s="128" t="str">
        <f t="shared" si="57"/>
        <v/>
      </c>
      <c r="J487" s="128"/>
      <c r="K487" s="128" t="str">
        <f t="shared" si="58"/>
        <v/>
      </c>
      <c r="L487" s="128"/>
      <c r="M487" s="128" t="str">
        <f t="shared" si="59"/>
        <v/>
      </c>
      <c r="N487" s="148"/>
      <c r="O487" s="128" t="str">
        <f t="shared" si="60"/>
        <v/>
      </c>
      <c r="P487" s="148"/>
      <c r="Q487" s="128" t="str">
        <f t="shared" si="61"/>
        <v/>
      </c>
      <c r="R487" s="148"/>
      <c r="S487" s="128" t="str">
        <f t="shared" si="62"/>
        <v/>
      </c>
      <c r="T487" s="47" t="str">
        <f t="shared" si="56"/>
        <v>OK!</v>
      </c>
    </row>
    <row r="488" spans="2:20" ht="16.5" x14ac:dyDescent="0.3">
      <c r="B488" s="129" t="s">
        <v>2590</v>
      </c>
      <c r="C488" s="128">
        <v>2.4</v>
      </c>
      <c r="D488" s="128">
        <v>6.4</v>
      </c>
      <c r="E488" s="128"/>
      <c r="F488" s="148" t="s">
        <v>2916</v>
      </c>
      <c r="G488" s="128">
        <f t="shared" si="63"/>
        <v>2.4</v>
      </c>
      <c r="H488" s="128"/>
      <c r="I488" s="128" t="str">
        <f t="shared" si="57"/>
        <v/>
      </c>
      <c r="J488" s="128"/>
      <c r="K488" s="128" t="str">
        <f t="shared" si="58"/>
        <v/>
      </c>
      <c r="L488" s="128"/>
      <c r="M488" s="128" t="str">
        <f t="shared" si="59"/>
        <v/>
      </c>
      <c r="N488" s="148"/>
      <c r="O488" s="128" t="str">
        <f t="shared" si="60"/>
        <v/>
      </c>
      <c r="P488" s="148"/>
      <c r="Q488" s="128" t="str">
        <f t="shared" si="61"/>
        <v/>
      </c>
      <c r="R488" s="148"/>
      <c r="S488" s="128" t="str">
        <f t="shared" si="62"/>
        <v/>
      </c>
      <c r="T488" s="47" t="str">
        <f t="shared" si="56"/>
        <v>OK!</v>
      </c>
    </row>
    <row r="489" spans="2:20" ht="16.5" x14ac:dyDescent="0.3">
      <c r="B489" s="129" t="s">
        <v>2594</v>
      </c>
      <c r="C489" s="128">
        <v>29.28</v>
      </c>
      <c r="D489" s="128">
        <v>31.44</v>
      </c>
      <c r="E489" s="128"/>
      <c r="F489" s="148" t="s">
        <v>2916</v>
      </c>
      <c r="G489" s="128">
        <f t="shared" si="63"/>
        <v>29.28</v>
      </c>
      <c r="H489" s="128"/>
      <c r="I489" s="128" t="str">
        <f t="shared" si="57"/>
        <v/>
      </c>
      <c r="J489" s="128"/>
      <c r="K489" s="128" t="str">
        <f t="shared" si="58"/>
        <v/>
      </c>
      <c r="L489" s="128"/>
      <c r="M489" s="128" t="str">
        <f t="shared" si="59"/>
        <v/>
      </c>
      <c r="N489" s="148"/>
      <c r="O489" s="128" t="str">
        <f t="shared" si="60"/>
        <v/>
      </c>
      <c r="P489" s="148"/>
      <c r="Q489" s="128" t="str">
        <f t="shared" si="61"/>
        <v/>
      </c>
      <c r="R489" s="148"/>
      <c r="S489" s="128" t="str">
        <f t="shared" si="62"/>
        <v/>
      </c>
      <c r="T489" s="47" t="str">
        <f t="shared" si="56"/>
        <v>OK!</v>
      </c>
    </row>
    <row r="490" spans="2:20" ht="16.5" x14ac:dyDescent="0.3">
      <c r="B490" s="129" t="s">
        <v>2849</v>
      </c>
      <c r="C490" s="128">
        <v>58.7</v>
      </c>
      <c r="D490" s="128">
        <v>33.36</v>
      </c>
      <c r="E490" s="128"/>
      <c r="F490" s="148" t="s">
        <v>2916</v>
      </c>
      <c r="G490" s="128">
        <f t="shared" si="63"/>
        <v>58.7</v>
      </c>
      <c r="H490" s="128"/>
      <c r="I490" s="128" t="str">
        <f t="shared" si="57"/>
        <v/>
      </c>
      <c r="J490" s="128"/>
      <c r="K490" s="128" t="str">
        <f t="shared" si="58"/>
        <v/>
      </c>
      <c r="L490" s="128"/>
      <c r="M490" s="128" t="str">
        <f t="shared" si="59"/>
        <v/>
      </c>
      <c r="N490" s="148"/>
      <c r="O490" s="128" t="str">
        <f t="shared" si="60"/>
        <v/>
      </c>
      <c r="P490" s="148"/>
      <c r="Q490" s="128" t="str">
        <f t="shared" si="61"/>
        <v/>
      </c>
      <c r="R490" s="148"/>
      <c r="S490" s="128" t="str">
        <f t="shared" si="62"/>
        <v/>
      </c>
      <c r="T490" s="47" t="str">
        <f t="shared" si="56"/>
        <v>OK!</v>
      </c>
    </row>
    <row r="491" spans="2:20" ht="16.5" x14ac:dyDescent="0.3">
      <c r="B491" s="129" t="s">
        <v>2850</v>
      </c>
      <c r="C491" s="128">
        <v>100.73</v>
      </c>
      <c r="D491" s="128">
        <v>40.5</v>
      </c>
      <c r="E491" s="128"/>
      <c r="F491" s="148" t="s">
        <v>2916</v>
      </c>
      <c r="G491" s="128">
        <f t="shared" si="63"/>
        <v>100.73</v>
      </c>
      <c r="H491" s="128"/>
      <c r="I491" s="128" t="str">
        <f t="shared" si="57"/>
        <v/>
      </c>
      <c r="J491" s="128"/>
      <c r="K491" s="128" t="str">
        <f t="shared" si="58"/>
        <v/>
      </c>
      <c r="L491" s="128"/>
      <c r="M491" s="128" t="str">
        <f t="shared" si="59"/>
        <v/>
      </c>
      <c r="N491" s="148"/>
      <c r="O491" s="128" t="str">
        <f t="shared" si="60"/>
        <v/>
      </c>
      <c r="P491" s="148"/>
      <c r="Q491" s="128" t="str">
        <f t="shared" si="61"/>
        <v/>
      </c>
      <c r="R491" s="148"/>
      <c r="S491" s="128" t="str">
        <f t="shared" si="62"/>
        <v/>
      </c>
      <c r="T491" s="47" t="str">
        <f t="shared" si="56"/>
        <v>OK!</v>
      </c>
    </row>
    <row r="492" spans="2:20" ht="16.5" x14ac:dyDescent="0.3">
      <c r="B492" s="129" t="s">
        <v>2851</v>
      </c>
      <c r="C492" s="128">
        <v>29.96</v>
      </c>
      <c r="D492" s="128">
        <v>26.64</v>
      </c>
      <c r="E492" s="128"/>
      <c r="F492" s="148" t="s">
        <v>2916</v>
      </c>
      <c r="G492" s="128">
        <f t="shared" si="63"/>
        <v>29.96</v>
      </c>
      <c r="H492" s="128"/>
      <c r="I492" s="128" t="str">
        <f t="shared" si="57"/>
        <v/>
      </c>
      <c r="J492" s="128"/>
      <c r="K492" s="128" t="str">
        <f t="shared" si="58"/>
        <v/>
      </c>
      <c r="L492" s="128"/>
      <c r="M492" s="128" t="str">
        <f t="shared" si="59"/>
        <v/>
      </c>
      <c r="N492" s="148"/>
      <c r="O492" s="128" t="str">
        <f t="shared" si="60"/>
        <v/>
      </c>
      <c r="P492" s="148"/>
      <c r="Q492" s="128" t="str">
        <f t="shared" si="61"/>
        <v/>
      </c>
      <c r="R492" s="148"/>
      <c r="S492" s="128" t="str">
        <f t="shared" si="62"/>
        <v/>
      </c>
      <c r="T492" s="47" t="str">
        <f t="shared" si="56"/>
        <v>OK!</v>
      </c>
    </row>
    <row r="493" spans="2:20" ht="16.5" x14ac:dyDescent="0.3">
      <c r="B493" s="129" t="s">
        <v>2852</v>
      </c>
      <c r="C493" s="128">
        <v>6.15</v>
      </c>
      <c r="D493" s="128">
        <v>10.3</v>
      </c>
      <c r="E493" s="128">
        <v>2.2000000000000002</v>
      </c>
      <c r="F493" s="148" t="s">
        <v>2916</v>
      </c>
      <c r="G493" s="128">
        <f t="shared" si="63"/>
        <v>6.15</v>
      </c>
      <c r="H493" s="128"/>
      <c r="I493" s="128" t="str">
        <f t="shared" si="57"/>
        <v/>
      </c>
      <c r="J493" s="128"/>
      <c r="K493" s="128" t="str">
        <f t="shared" si="58"/>
        <v/>
      </c>
      <c r="L493" s="128"/>
      <c r="M493" s="128" t="str">
        <f t="shared" si="59"/>
        <v/>
      </c>
      <c r="N493" s="148"/>
      <c r="O493" s="128" t="str">
        <f t="shared" si="60"/>
        <v/>
      </c>
      <c r="P493" s="148"/>
      <c r="Q493" s="128" t="str">
        <f t="shared" si="61"/>
        <v/>
      </c>
      <c r="R493" s="148"/>
      <c r="S493" s="128" t="str">
        <f t="shared" si="62"/>
        <v/>
      </c>
      <c r="T493" s="47" t="str">
        <f t="shared" si="56"/>
        <v>OK!</v>
      </c>
    </row>
    <row r="494" spans="2:20" ht="16.5" x14ac:dyDescent="0.3">
      <c r="B494" s="129" t="s">
        <v>2853</v>
      </c>
      <c r="C494" s="128">
        <v>47.87</v>
      </c>
      <c r="D494" s="128">
        <v>38.090000000000003</v>
      </c>
      <c r="E494" s="128">
        <f>2.07+2.2+2.6</f>
        <v>6.8699999999999992</v>
      </c>
      <c r="F494" s="148" t="s">
        <v>2916</v>
      </c>
      <c r="G494" s="128">
        <f t="shared" si="63"/>
        <v>47.87</v>
      </c>
      <c r="H494" s="128"/>
      <c r="I494" s="128" t="str">
        <f t="shared" si="57"/>
        <v/>
      </c>
      <c r="J494" s="128"/>
      <c r="K494" s="128" t="str">
        <f t="shared" si="58"/>
        <v/>
      </c>
      <c r="L494" s="128"/>
      <c r="M494" s="128" t="str">
        <f t="shared" si="59"/>
        <v/>
      </c>
      <c r="N494" s="148"/>
      <c r="O494" s="128" t="str">
        <f t="shared" si="60"/>
        <v/>
      </c>
      <c r="P494" s="148"/>
      <c r="Q494" s="128" t="str">
        <f t="shared" si="61"/>
        <v/>
      </c>
      <c r="R494" s="148"/>
      <c r="S494" s="128" t="str">
        <f t="shared" si="62"/>
        <v/>
      </c>
      <c r="T494" s="47" t="str">
        <f t="shared" si="56"/>
        <v>OK!</v>
      </c>
    </row>
    <row r="495" spans="2:20" ht="16.5" x14ac:dyDescent="0.3">
      <c r="B495" s="129" t="s">
        <v>2854</v>
      </c>
      <c r="C495" s="128">
        <v>12.73</v>
      </c>
      <c r="D495" s="128">
        <v>15.71</v>
      </c>
      <c r="E495" s="128">
        <v>2.0699999999999998</v>
      </c>
      <c r="F495" s="148" t="s">
        <v>2916</v>
      </c>
      <c r="G495" s="128">
        <f t="shared" si="63"/>
        <v>12.73</v>
      </c>
      <c r="H495" s="128"/>
      <c r="I495" s="128" t="str">
        <f t="shared" si="57"/>
        <v/>
      </c>
      <c r="J495" s="128"/>
      <c r="K495" s="128" t="str">
        <f t="shared" si="58"/>
        <v/>
      </c>
      <c r="L495" s="128"/>
      <c r="M495" s="128" t="str">
        <f t="shared" si="59"/>
        <v/>
      </c>
      <c r="N495" s="148"/>
      <c r="O495" s="128" t="str">
        <f t="shared" si="60"/>
        <v/>
      </c>
      <c r="P495" s="148"/>
      <c r="Q495" s="128" t="str">
        <f t="shared" si="61"/>
        <v/>
      </c>
      <c r="R495" s="148"/>
      <c r="S495" s="128" t="str">
        <f t="shared" si="62"/>
        <v/>
      </c>
      <c r="T495" s="47" t="str">
        <f t="shared" si="56"/>
        <v>OK!</v>
      </c>
    </row>
    <row r="496" spans="2:20" ht="16.5" x14ac:dyDescent="0.3">
      <c r="B496" s="129" t="s">
        <v>2670</v>
      </c>
      <c r="C496" s="128">
        <v>15.1</v>
      </c>
      <c r="D496" s="128">
        <v>17.75</v>
      </c>
      <c r="E496" s="128"/>
      <c r="F496" s="148" t="s">
        <v>2916</v>
      </c>
      <c r="G496" s="128">
        <f t="shared" si="63"/>
        <v>15.1</v>
      </c>
      <c r="H496" s="128"/>
      <c r="I496" s="128" t="str">
        <f t="shared" si="57"/>
        <v/>
      </c>
      <c r="J496" s="128"/>
      <c r="K496" s="128" t="str">
        <f t="shared" si="58"/>
        <v/>
      </c>
      <c r="L496" s="128"/>
      <c r="M496" s="128" t="str">
        <f t="shared" si="59"/>
        <v/>
      </c>
      <c r="N496" s="148"/>
      <c r="O496" s="128" t="str">
        <f t="shared" si="60"/>
        <v/>
      </c>
      <c r="P496" s="148"/>
      <c r="Q496" s="128" t="str">
        <f t="shared" si="61"/>
        <v/>
      </c>
      <c r="R496" s="148"/>
      <c r="S496" s="128" t="str">
        <f t="shared" si="62"/>
        <v/>
      </c>
      <c r="T496" s="47" t="str">
        <f t="shared" si="56"/>
        <v>OK!</v>
      </c>
    </row>
    <row r="497" spans="2:20" ht="16.5" x14ac:dyDescent="0.3">
      <c r="B497" s="129" t="s">
        <v>2718</v>
      </c>
      <c r="C497" s="128"/>
      <c r="D497" s="128"/>
      <c r="E497" s="128"/>
      <c r="F497" s="148"/>
      <c r="G497" s="128" t="str">
        <f t="shared" si="63"/>
        <v/>
      </c>
      <c r="H497" s="128" t="s">
        <v>2916</v>
      </c>
      <c r="I497" s="128">
        <f t="shared" si="57"/>
        <v>0</v>
      </c>
      <c r="J497" s="128"/>
      <c r="K497" s="128" t="str">
        <f t="shared" si="58"/>
        <v/>
      </c>
      <c r="L497" s="128"/>
      <c r="M497" s="128" t="str">
        <f t="shared" si="59"/>
        <v/>
      </c>
      <c r="N497" s="148"/>
      <c r="O497" s="128" t="str">
        <f t="shared" si="60"/>
        <v/>
      </c>
      <c r="P497" s="148"/>
      <c r="Q497" s="128" t="str">
        <f t="shared" si="61"/>
        <v/>
      </c>
      <c r="R497" s="148"/>
      <c r="S497" s="128" t="str">
        <f t="shared" si="62"/>
        <v/>
      </c>
      <c r="T497" s="47" t="str">
        <f t="shared" si="56"/>
        <v>OK!</v>
      </c>
    </row>
    <row r="498" spans="2:20" ht="16.5" x14ac:dyDescent="0.3">
      <c r="B498" s="134" t="s">
        <v>2855</v>
      </c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47" t="str">
        <f t="shared" si="56"/>
        <v>OK!</v>
      </c>
    </row>
    <row r="499" spans="2:20" ht="16.5" x14ac:dyDescent="0.3">
      <c r="B499" s="136" t="s">
        <v>2821</v>
      </c>
      <c r="C499" s="128"/>
      <c r="D499" s="128"/>
      <c r="E499" s="128"/>
      <c r="F499" s="148"/>
      <c r="G499" s="128"/>
      <c r="H499" s="128"/>
      <c r="I499" s="128" t="str">
        <f t="shared" si="57"/>
        <v/>
      </c>
      <c r="J499" s="128"/>
      <c r="K499" s="128" t="str">
        <f t="shared" si="58"/>
        <v/>
      </c>
      <c r="L499" s="128"/>
      <c r="M499" s="128" t="str">
        <f t="shared" si="59"/>
        <v/>
      </c>
      <c r="N499" s="148"/>
      <c r="O499" s="128" t="str">
        <f t="shared" si="60"/>
        <v/>
      </c>
      <c r="P499" s="148"/>
      <c r="Q499" s="128" t="str">
        <f t="shared" si="61"/>
        <v/>
      </c>
      <c r="R499" s="148"/>
      <c r="S499" s="128" t="str">
        <f t="shared" si="62"/>
        <v/>
      </c>
      <c r="T499" s="47" t="str">
        <f t="shared" si="56"/>
        <v>OK!</v>
      </c>
    </row>
    <row r="500" spans="2:20" ht="16.5" x14ac:dyDescent="0.3">
      <c r="B500" s="129" t="s">
        <v>2642</v>
      </c>
      <c r="C500" s="128">
        <v>27.69</v>
      </c>
      <c r="D500" s="128">
        <v>21.92</v>
      </c>
      <c r="E500" s="128"/>
      <c r="F500" s="148" t="s">
        <v>2916</v>
      </c>
      <c r="G500" s="128">
        <f t="shared" si="63"/>
        <v>27.69</v>
      </c>
      <c r="H500" s="128"/>
      <c r="I500" s="128" t="str">
        <f t="shared" si="57"/>
        <v/>
      </c>
      <c r="J500" s="128"/>
      <c r="K500" s="128" t="str">
        <f t="shared" si="58"/>
        <v/>
      </c>
      <c r="L500" s="128"/>
      <c r="M500" s="128" t="str">
        <f t="shared" si="59"/>
        <v/>
      </c>
      <c r="N500" s="148"/>
      <c r="O500" s="128" t="str">
        <f t="shared" si="60"/>
        <v/>
      </c>
      <c r="P500" s="148"/>
      <c r="Q500" s="128" t="str">
        <f t="shared" si="61"/>
        <v/>
      </c>
      <c r="R500" s="148"/>
      <c r="S500" s="128" t="str">
        <f t="shared" si="62"/>
        <v/>
      </c>
      <c r="T500" s="47" t="str">
        <f t="shared" si="56"/>
        <v>OK!</v>
      </c>
    </row>
    <row r="501" spans="2:20" ht="16.5" x14ac:dyDescent="0.3">
      <c r="B501" s="129" t="s">
        <v>2643</v>
      </c>
      <c r="C501" s="128">
        <v>5.18</v>
      </c>
      <c r="D501" s="128">
        <v>9.99</v>
      </c>
      <c r="E501" s="128"/>
      <c r="F501" s="148" t="s">
        <v>2916</v>
      </c>
      <c r="G501" s="128">
        <f t="shared" si="63"/>
        <v>5.18</v>
      </c>
      <c r="H501" s="128"/>
      <c r="I501" s="128" t="str">
        <f t="shared" si="57"/>
        <v/>
      </c>
      <c r="J501" s="128"/>
      <c r="K501" s="128" t="str">
        <f t="shared" si="58"/>
        <v/>
      </c>
      <c r="L501" s="128"/>
      <c r="M501" s="128" t="str">
        <f t="shared" si="59"/>
        <v/>
      </c>
      <c r="N501" s="148"/>
      <c r="O501" s="128" t="str">
        <f t="shared" si="60"/>
        <v/>
      </c>
      <c r="P501" s="148"/>
      <c r="Q501" s="128" t="str">
        <f t="shared" si="61"/>
        <v/>
      </c>
      <c r="R501" s="148"/>
      <c r="S501" s="128" t="str">
        <f t="shared" si="62"/>
        <v/>
      </c>
      <c r="T501" s="47" t="str">
        <f t="shared" si="56"/>
        <v>OK!</v>
      </c>
    </row>
    <row r="502" spans="2:20" ht="16.5" x14ac:dyDescent="0.3">
      <c r="B502" s="129" t="s">
        <v>2644</v>
      </c>
      <c r="C502" s="128">
        <v>27.26</v>
      </c>
      <c r="D502" s="128">
        <v>21.74</v>
      </c>
      <c r="E502" s="128"/>
      <c r="F502" s="148" t="s">
        <v>2916</v>
      </c>
      <c r="G502" s="128">
        <f t="shared" si="63"/>
        <v>27.26</v>
      </c>
      <c r="H502" s="128"/>
      <c r="I502" s="128" t="str">
        <f t="shared" si="57"/>
        <v/>
      </c>
      <c r="J502" s="128"/>
      <c r="K502" s="128" t="str">
        <f t="shared" si="58"/>
        <v/>
      </c>
      <c r="L502" s="128"/>
      <c r="M502" s="128" t="str">
        <f t="shared" si="59"/>
        <v/>
      </c>
      <c r="N502" s="148"/>
      <c r="O502" s="128" t="str">
        <f t="shared" si="60"/>
        <v/>
      </c>
      <c r="P502" s="148"/>
      <c r="Q502" s="128" t="str">
        <f t="shared" si="61"/>
        <v/>
      </c>
      <c r="R502" s="148"/>
      <c r="S502" s="128" t="str">
        <f t="shared" si="62"/>
        <v/>
      </c>
      <c r="T502" s="47" t="str">
        <f t="shared" si="56"/>
        <v>OK!</v>
      </c>
    </row>
    <row r="503" spans="2:20" ht="16.5" x14ac:dyDescent="0.3">
      <c r="B503" s="129" t="s">
        <v>2645</v>
      </c>
      <c r="C503" s="128">
        <v>5.18</v>
      </c>
      <c r="D503" s="128">
        <v>9.99</v>
      </c>
      <c r="E503" s="128"/>
      <c r="F503" s="148" t="s">
        <v>2916</v>
      </c>
      <c r="G503" s="128">
        <f t="shared" si="63"/>
        <v>5.18</v>
      </c>
      <c r="H503" s="128"/>
      <c r="I503" s="128" t="str">
        <f t="shared" si="57"/>
        <v/>
      </c>
      <c r="J503" s="128"/>
      <c r="K503" s="128" t="str">
        <f t="shared" si="58"/>
        <v/>
      </c>
      <c r="L503" s="128"/>
      <c r="M503" s="128" t="str">
        <f t="shared" si="59"/>
        <v/>
      </c>
      <c r="N503" s="148"/>
      <c r="O503" s="128" t="str">
        <f t="shared" si="60"/>
        <v/>
      </c>
      <c r="P503" s="148"/>
      <c r="Q503" s="128" t="str">
        <f t="shared" si="61"/>
        <v/>
      </c>
      <c r="R503" s="148"/>
      <c r="S503" s="128" t="str">
        <f t="shared" si="62"/>
        <v/>
      </c>
      <c r="T503" s="47" t="str">
        <f t="shared" si="56"/>
        <v>OK!</v>
      </c>
    </row>
    <row r="504" spans="2:20" ht="16.5" x14ac:dyDescent="0.3">
      <c r="B504" s="129" t="s">
        <v>2646</v>
      </c>
      <c r="C504" s="128">
        <v>27.26</v>
      </c>
      <c r="D504" s="128">
        <v>21.74</v>
      </c>
      <c r="E504" s="128"/>
      <c r="F504" s="148" t="s">
        <v>2916</v>
      </c>
      <c r="G504" s="128">
        <f t="shared" si="63"/>
        <v>27.26</v>
      </c>
      <c r="H504" s="128"/>
      <c r="I504" s="128" t="str">
        <f t="shared" si="57"/>
        <v/>
      </c>
      <c r="J504" s="128"/>
      <c r="K504" s="128" t="str">
        <f t="shared" si="58"/>
        <v/>
      </c>
      <c r="L504" s="128"/>
      <c r="M504" s="128" t="str">
        <f t="shared" si="59"/>
        <v/>
      </c>
      <c r="N504" s="148"/>
      <c r="O504" s="128" t="str">
        <f t="shared" si="60"/>
        <v/>
      </c>
      <c r="P504" s="148"/>
      <c r="Q504" s="128" t="str">
        <f t="shared" si="61"/>
        <v/>
      </c>
      <c r="R504" s="148"/>
      <c r="S504" s="128" t="str">
        <f t="shared" si="62"/>
        <v/>
      </c>
      <c r="T504" s="47" t="str">
        <f t="shared" si="56"/>
        <v>OK!</v>
      </c>
    </row>
    <row r="505" spans="2:20" ht="16.5" x14ac:dyDescent="0.3">
      <c r="B505" s="129" t="s">
        <v>2647</v>
      </c>
      <c r="C505" s="128">
        <v>5.18</v>
      </c>
      <c r="D505" s="128">
        <v>9.99</v>
      </c>
      <c r="E505" s="128"/>
      <c r="F505" s="148" t="s">
        <v>2916</v>
      </c>
      <c r="G505" s="128">
        <f t="shared" si="63"/>
        <v>5.18</v>
      </c>
      <c r="H505" s="128"/>
      <c r="I505" s="128" t="str">
        <f t="shared" si="57"/>
        <v/>
      </c>
      <c r="J505" s="128"/>
      <c r="K505" s="128" t="str">
        <f t="shared" si="58"/>
        <v/>
      </c>
      <c r="L505" s="128"/>
      <c r="M505" s="128" t="str">
        <f t="shared" si="59"/>
        <v/>
      </c>
      <c r="N505" s="148"/>
      <c r="O505" s="128" t="str">
        <f t="shared" si="60"/>
        <v/>
      </c>
      <c r="P505" s="148"/>
      <c r="Q505" s="128" t="str">
        <f t="shared" si="61"/>
        <v/>
      </c>
      <c r="R505" s="148"/>
      <c r="S505" s="128" t="str">
        <f t="shared" si="62"/>
        <v/>
      </c>
      <c r="T505" s="47" t="str">
        <f t="shared" si="56"/>
        <v>OK!</v>
      </c>
    </row>
    <row r="506" spans="2:20" ht="16.5" x14ac:dyDescent="0.3">
      <c r="B506" s="129" t="s">
        <v>2648</v>
      </c>
      <c r="C506" s="128">
        <v>27.12</v>
      </c>
      <c r="D506" s="128">
        <v>21.68</v>
      </c>
      <c r="E506" s="128"/>
      <c r="F506" s="148" t="s">
        <v>2916</v>
      </c>
      <c r="G506" s="128">
        <f t="shared" si="63"/>
        <v>27.12</v>
      </c>
      <c r="H506" s="128"/>
      <c r="I506" s="128" t="str">
        <f t="shared" si="57"/>
        <v/>
      </c>
      <c r="J506" s="128"/>
      <c r="K506" s="128" t="str">
        <f t="shared" si="58"/>
        <v/>
      </c>
      <c r="L506" s="128"/>
      <c r="M506" s="128" t="str">
        <f t="shared" si="59"/>
        <v/>
      </c>
      <c r="N506" s="148"/>
      <c r="O506" s="128" t="str">
        <f t="shared" si="60"/>
        <v/>
      </c>
      <c r="P506" s="148"/>
      <c r="Q506" s="128" t="str">
        <f t="shared" si="61"/>
        <v/>
      </c>
      <c r="R506" s="148"/>
      <c r="S506" s="128" t="str">
        <f t="shared" si="62"/>
        <v/>
      </c>
      <c r="T506" s="47" t="str">
        <f t="shared" si="56"/>
        <v>OK!</v>
      </c>
    </row>
    <row r="507" spans="2:20" ht="16.5" x14ac:dyDescent="0.3">
      <c r="B507" s="129" t="s">
        <v>2649</v>
      </c>
      <c r="C507" s="128">
        <v>5.18</v>
      </c>
      <c r="D507" s="128">
        <v>9.99</v>
      </c>
      <c r="E507" s="128"/>
      <c r="F507" s="148" t="s">
        <v>2916</v>
      </c>
      <c r="G507" s="128">
        <f t="shared" si="63"/>
        <v>5.18</v>
      </c>
      <c r="H507" s="128"/>
      <c r="I507" s="128" t="str">
        <f t="shared" si="57"/>
        <v/>
      </c>
      <c r="J507" s="128"/>
      <c r="K507" s="128" t="str">
        <f t="shared" si="58"/>
        <v/>
      </c>
      <c r="L507" s="128"/>
      <c r="M507" s="128" t="str">
        <f t="shared" si="59"/>
        <v/>
      </c>
      <c r="N507" s="148"/>
      <c r="O507" s="128" t="str">
        <f t="shared" si="60"/>
        <v/>
      </c>
      <c r="P507" s="148"/>
      <c r="Q507" s="128" t="str">
        <f t="shared" si="61"/>
        <v/>
      </c>
      <c r="R507" s="148"/>
      <c r="S507" s="128" t="str">
        <f t="shared" si="62"/>
        <v/>
      </c>
      <c r="T507" s="47" t="str">
        <f t="shared" si="56"/>
        <v>OK!</v>
      </c>
    </row>
    <row r="508" spans="2:20" ht="16.5" x14ac:dyDescent="0.3">
      <c r="B508" s="129" t="s">
        <v>2651</v>
      </c>
      <c r="C508" s="128">
        <v>27.17</v>
      </c>
      <c r="D508" s="128">
        <v>21.67</v>
      </c>
      <c r="E508" s="128"/>
      <c r="F508" s="148" t="s">
        <v>2916</v>
      </c>
      <c r="G508" s="128">
        <f t="shared" si="63"/>
        <v>27.17</v>
      </c>
      <c r="H508" s="128"/>
      <c r="I508" s="128" t="str">
        <f t="shared" si="57"/>
        <v/>
      </c>
      <c r="J508" s="128"/>
      <c r="K508" s="128" t="str">
        <f t="shared" si="58"/>
        <v/>
      </c>
      <c r="L508" s="128"/>
      <c r="M508" s="128" t="str">
        <f t="shared" si="59"/>
        <v/>
      </c>
      <c r="N508" s="148"/>
      <c r="O508" s="128" t="str">
        <f t="shared" si="60"/>
        <v/>
      </c>
      <c r="P508" s="148"/>
      <c r="Q508" s="128" t="str">
        <f t="shared" si="61"/>
        <v/>
      </c>
      <c r="R508" s="148"/>
      <c r="S508" s="128" t="str">
        <f t="shared" si="62"/>
        <v/>
      </c>
      <c r="T508" s="47" t="str">
        <f t="shared" si="56"/>
        <v>OK!</v>
      </c>
    </row>
    <row r="509" spans="2:20" ht="16.5" x14ac:dyDescent="0.3">
      <c r="B509" s="129" t="s">
        <v>2652</v>
      </c>
      <c r="C509" s="128">
        <v>5.18</v>
      </c>
      <c r="D509" s="128">
        <v>9.99</v>
      </c>
      <c r="E509" s="128"/>
      <c r="F509" s="148" t="s">
        <v>2916</v>
      </c>
      <c r="G509" s="128">
        <f t="shared" si="63"/>
        <v>5.18</v>
      </c>
      <c r="H509" s="128"/>
      <c r="I509" s="128" t="str">
        <f t="shared" si="57"/>
        <v/>
      </c>
      <c r="J509" s="128"/>
      <c r="K509" s="128" t="str">
        <f t="shared" si="58"/>
        <v/>
      </c>
      <c r="L509" s="128"/>
      <c r="M509" s="128" t="str">
        <f t="shared" si="59"/>
        <v/>
      </c>
      <c r="N509" s="148"/>
      <c r="O509" s="128" t="str">
        <f t="shared" si="60"/>
        <v/>
      </c>
      <c r="P509" s="148"/>
      <c r="Q509" s="128" t="str">
        <f t="shared" si="61"/>
        <v/>
      </c>
      <c r="R509" s="148"/>
      <c r="S509" s="128" t="str">
        <f t="shared" si="62"/>
        <v/>
      </c>
      <c r="T509" s="47" t="str">
        <f t="shared" si="56"/>
        <v>OK!</v>
      </c>
    </row>
    <row r="510" spans="2:20" ht="16.5" x14ac:dyDescent="0.3">
      <c r="B510" s="129" t="s">
        <v>2594</v>
      </c>
      <c r="C510" s="128">
        <v>78.13</v>
      </c>
      <c r="D510" s="128">
        <v>76.77</v>
      </c>
      <c r="E510" s="128"/>
      <c r="F510" s="148" t="s">
        <v>2916</v>
      </c>
      <c r="G510" s="128">
        <f t="shared" si="63"/>
        <v>78.13</v>
      </c>
      <c r="H510" s="128"/>
      <c r="I510" s="128" t="str">
        <f t="shared" si="57"/>
        <v/>
      </c>
      <c r="J510" s="128"/>
      <c r="K510" s="128" t="str">
        <f t="shared" si="58"/>
        <v/>
      </c>
      <c r="L510" s="128"/>
      <c r="M510" s="128" t="str">
        <f t="shared" si="59"/>
        <v/>
      </c>
      <c r="N510" s="148"/>
      <c r="O510" s="128" t="str">
        <f t="shared" si="60"/>
        <v/>
      </c>
      <c r="P510" s="148"/>
      <c r="Q510" s="128" t="str">
        <f t="shared" si="61"/>
        <v/>
      </c>
      <c r="R510" s="148"/>
      <c r="S510" s="128" t="str">
        <f t="shared" si="62"/>
        <v/>
      </c>
      <c r="T510" s="47" t="str">
        <f t="shared" si="56"/>
        <v>OK!</v>
      </c>
    </row>
    <row r="511" spans="2:20" ht="16.5" x14ac:dyDescent="0.3">
      <c r="B511" s="129" t="s">
        <v>2657</v>
      </c>
      <c r="C511" s="128">
        <v>25.85</v>
      </c>
      <c r="D511" s="128">
        <v>21.31</v>
      </c>
      <c r="E511" s="128"/>
      <c r="F511" s="148" t="s">
        <v>2916</v>
      </c>
      <c r="G511" s="128">
        <f t="shared" si="63"/>
        <v>25.85</v>
      </c>
      <c r="H511" s="128"/>
      <c r="I511" s="128" t="str">
        <f t="shared" si="57"/>
        <v/>
      </c>
      <c r="J511" s="128"/>
      <c r="K511" s="128" t="str">
        <f t="shared" si="58"/>
        <v/>
      </c>
      <c r="L511" s="128"/>
      <c r="M511" s="128" t="str">
        <f t="shared" si="59"/>
        <v/>
      </c>
      <c r="N511" s="148"/>
      <c r="O511" s="128" t="str">
        <f t="shared" si="60"/>
        <v/>
      </c>
      <c r="P511" s="148"/>
      <c r="Q511" s="128" t="str">
        <f t="shared" si="61"/>
        <v/>
      </c>
      <c r="R511" s="148"/>
      <c r="S511" s="128" t="str">
        <f t="shared" si="62"/>
        <v/>
      </c>
      <c r="T511" s="47" t="str">
        <f t="shared" si="56"/>
        <v>OK!</v>
      </c>
    </row>
    <row r="512" spans="2:20" ht="16.5" x14ac:dyDescent="0.3">
      <c r="B512" s="129" t="s">
        <v>2658</v>
      </c>
      <c r="C512" s="128">
        <v>5.18</v>
      </c>
      <c r="D512" s="128">
        <v>9.99</v>
      </c>
      <c r="E512" s="128"/>
      <c r="F512" s="148" t="s">
        <v>2916</v>
      </c>
      <c r="G512" s="128">
        <f t="shared" si="63"/>
        <v>5.18</v>
      </c>
      <c r="H512" s="128"/>
      <c r="I512" s="128" t="str">
        <f t="shared" si="57"/>
        <v/>
      </c>
      <c r="J512" s="128"/>
      <c r="K512" s="128" t="str">
        <f t="shared" si="58"/>
        <v/>
      </c>
      <c r="L512" s="128"/>
      <c r="M512" s="128" t="str">
        <f t="shared" si="59"/>
        <v/>
      </c>
      <c r="N512" s="148"/>
      <c r="O512" s="128" t="str">
        <f t="shared" si="60"/>
        <v/>
      </c>
      <c r="P512" s="148"/>
      <c r="Q512" s="128" t="str">
        <f t="shared" si="61"/>
        <v/>
      </c>
      <c r="R512" s="148"/>
      <c r="S512" s="128" t="str">
        <f t="shared" si="62"/>
        <v/>
      </c>
      <c r="T512" s="47" t="str">
        <f t="shared" si="56"/>
        <v>OK!</v>
      </c>
    </row>
    <row r="513" spans="2:20" ht="16.5" x14ac:dyDescent="0.3">
      <c r="B513" s="129" t="s">
        <v>2730</v>
      </c>
      <c r="C513" s="128">
        <v>12.78</v>
      </c>
      <c r="D513" s="128">
        <v>14.76</v>
      </c>
      <c r="E513" s="128"/>
      <c r="F513" s="148" t="s">
        <v>2916</v>
      </c>
      <c r="G513" s="128">
        <f t="shared" si="63"/>
        <v>12.78</v>
      </c>
      <c r="H513" s="128"/>
      <c r="I513" s="128" t="str">
        <f t="shared" si="57"/>
        <v/>
      </c>
      <c r="J513" s="128"/>
      <c r="K513" s="128" t="str">
        <f t="shared" si="58"/>
        <v/>
      </c>
      <c r="L513" s="128"/>
      <c r="M513" s="128" t="str">
        <f t="shared" si="59"/>
        <v/>
      </c>
      <c r="N513" s="148"/>
      <c r="O513" s="128" t="str">
        <f t="shared" si="60"/>
        <v/>
      </c>
      <c r="P513" s="148"/>
      <c r="Q513" s="128" t="str">
        <f t="shared" si="61"/>
        <v/>
      </c>
      <c r="R513" s="148"/>
      <c r="S513" s="128" t="str">
        <f t="shared" si="62"/>
        <v/>
      </c>
      <c r="T513" s="47" t="str">
        <f t="shared" si="56"/>
        <v>OK!</v>
      </c>
    </row>
    <row r="514" spans="2:20" ht="16.5" x14ac:dyDescent="0.3">
      <c r="B514" s="129" t="s">
        <v>2666</v>
      </c>
      <c r="C514" s="128">
        <v>4.0999999999999996</v>
      </c>
      <c r="D514" s="128">
        <v>8.6999999999999993</v>
      </c>
      <c r="E514" s="128"/>
      <c r="F514" s="148" t="s">
        <v>2916</v>
      </c>
      <c r="G514" s="128">
        <f t="shared" si="63"/>
        <v>4.0999999999999996</v>
      </c>
      <c r="H514" s="128"/>
      <c r="I514" s="128" t="str">
        <f t="shared" si="57"/>
        <v/>
      </c>
      <c r="J514" s="128"/>
      <c r="K514" s="128" t="str">
        <f t="shared" si="58"/>
        <v/>
      </c>
      <c r="L514" s="128"/>
      <c r="M514" s="128" t="str">
        <f t="shared" si="59"/>
        <v/>
      </c>
      <c r="N514" s="148"/>
      <c r="O514" s="128" t="str">
        <f t="shared" si="60"/>
        <v/>
      </c>
      <c r="P514" s="148"/>
      <c r="Q514" s="128" t="str">
        <f t="shared" si="61"/>
        <v/>
      </c>
      <c r="R514" s="148"/>
      <c r="S514" s="128" t="str">
        <f t="shared" si="62"/>
        <v/>
      </c>
      <c r="T514" s="47" t="str">
        <f t="shared" si="56"/>
        <v>OK!</v>
      </c>
    </row>
    <row r="515" spans="2:20" ht="16.5" x14ac:dyDescent="0.3">
      <c r="B515" s="129" t="s">
        <v>2591</v>
      </c>
      <c r="C515" s="128">
        <v>3.14</v>
      </c>
      <c r="D515" s="128">
        <v>7.1</v>
      </c>
      <c r="E515" s="128"/>
      <c r="F515" s="148" t="s">
        <v>2916</v>
      </c>
      <c r="G515" s="128">
        <f t="shared" si="63"/>
        <v>3.14</v>
      </c>
      <c r="H515" s="128"/>
      <c r="I515" s="128" t="str">
        <f t="shared" si="57"/>
        <v/>
      </c>
      <c r="J515" s="128"/>
      <c r="K515" s="128" t="str">
        <f t="shared" si="58"/>
        <v/>
      </c>
      <c r="L515" s="128"/>
      <c r="M515" s="128" t="str">
        <f t="shared" si="59"/>
        <v/>
      </c>
      <c r="N515" s="148"/>
      <c r="O515" s="128" t="str">
        <f t="shared" si="60"/>
        <v/>
      </c>
      <c r="P515" s="148"/>
      <c r="Q515" s="128" t="str">
        <f t="shared" si="61"/>
        <v/>
      </c>
      <c r="R515" s="148"/>
      <c r="S515" s="128" t="str">
        <f t="shared" si="62"/>
        <v/>
      </c>
      <c r="T515" s="47" t="str">
        <f t="shared" si="56"/>
        <v>OK!</v>
      </c>
    </row>
    <row r="516" spans="2:20" ht="16.5" x14ac:dyDescent="0.3">
      <c r="B516" s="129" t="s">
        <v>2655</v>
      </c>
      <c r="C516" s="128">
        <v>6.48</v>
      </c>
      <c r="D516" s="128">
        <v>10.34</v>
      </c>
      <c r="E516" s="128"/>
      <c r="F516" s="148" t="s">
        <v>2916</v>
      </c>
      <c r="G516" s="128">
        <f t="shared" si="63"/>
        <v>6.48</v>
      </c>
      <c r="H516" s="128"/>
      <c r="I516" s="128" t="str">
        <f t="shared" si="57"/>
        <v/>
      </c>
      <c r="J516" s="128"/>
      <c r="K516" s="128" t="str">
        <f t="shared" si="58"/>
        <v/>
      </c>
      <c r="L516" s="128"/>
      <c r="M516" s="128" t="str">
        <f t="shared" si="59"/>
        <v/>
      </c>
      <c r="N516" s="148"/>
      <c r="O516" s="128" t="str">
        <f t="shared" si="60"/>
        <v/>
      </c>
      <c r="P516" s="148"/>
      <c r="Q516" s="128" t="str">
        <f t="shared" si="61"/>
        <v/>
      </c>
      <c r="R516" s="148"/>
      <c r="S516" s="128" t="str">
        <f t="shared" si="62"/>
        <v/>
      </c>
      <c r="T516" s="47" t="str">
        <f t="shared" si="56"/>
        <v>OK!</v>
      </c>
    </row>
    <row r="517" spans="2:20" ht="16.5" x14ac:dyDescent="0.3">
      <c r="B517" s="129" t="s">
        <v>2822</v>
      </c>
      <c r="C517" s="128">
        <v>7.16</v>
      </c>
      <c r="D517" s="128">
        <v>10.83</v>
      </c>
      <c r="E517" s="128"/>
      <c r="F517" s="148" t="s">
        <v>2916</v>
      </c>
      <c r="G517" s="128">
        <f t="shared" si="63"/>
        <v>7.16</v>
      </c>
      <c r="H517" s="128"/>
      <c r="I517" s="128" t="str">
        <f t="shared" si="57"/>
        <v/>
      </c>
      <c r="J517" s="128"/>
      <c r="K517" s="128" t="str">
        <f t="shared" si="58"/>
        <v/>
      </c>
      <c r="L517" s="128"/>
      <c r="M517" s="128" t="str">
        <f t="shared" si="59"/>
        <v/>
      </c>
      <c r="N517" s="148"/>
      <c r="O517" s="128" t="str">
        <f t="shared" si="60"/>
        <v/>
      </c>
      <c r="P517" s="148"/>
      <c r="Q517" s="128" t="str">
        <f t="shared" si="61"/>
        <v/>
      </c>
      <c r="R517" s="148"/>
      <c r="S517" s="128" t="str">
        <f t="shared" si="62"/>
        <v/>
      </c>
      <c r="T517" s="47" t="str">
        <f t="shared" ref="T517:T580" si="64">IF(COUNT(F517:S517)&gt;1,"Corrigir!","OK!")</f>
        <v>OK!</v>
      </c>
    </row>
    <row r="518" spans="2:20" ht="16.5" x14ac:dyDescent="0.3">
      <c r="B518" s="129" t="s">
        <v>2823</v>
      </c>
      <c r="C518" s="128">
        <v>9.93</v>
      </c>
      <c r="D518" s="128">
        <v>13.44</v>
      </c>
      <c r="E518" s="128"/>
      <c r="F518" s="148" t="s">
        <v>2916</v>
      </c>
      <c r="G518" s="128">
        <f t="shared" ref="G518:G581" si="65">IF(F518="x",$C518,"")</f>
        <v>9.93</v>
      </c>
      <c r="H518" s="128"/>
      <c r="I518" s="128" t="str">
        <f t="shared" ref="I518:I581" si="66">IF(H518="x",$C518,"")</f>
        <v/>
      </c>
      <c r="J518" s="128"/>
      <c r="K518" s="128" t="str">
        <f t="shared" ref="K518:K581" si="67">IF(J518="x",$C518,"")</f>
        <v/>
      </c>
      <c r="L518" s="128"/>
      <c r="M518" s="128" t="str">
        <f t="shared" ref="M518:M581" si="68">IF(L518="x",$C518,"")</f>
        <v/>
      </c>
      <c r="N518" s="148"/>
      <c r="O518" s="128" t="str">
        <f t="shared" ref="O518:O581" si="69">IF(N518="x",$C518,"")</f>
        <v/>
      </c>
      <c r="P518" s="148"/>
      <c r="Q518" s="128" t="str">
        <f t="shared" ref="Q518:Q581" si="70">IF(P518="x",$C518,"")</f>
        <v/>
      </c>
      <c r="R518" s="148"/>
      <c r="S518" s="128" t="str">
        <f t="shared" ref="S518:S581" si="71">IF(R518="x",$C518,"")</f>
        <v/>
      </c>
      <c r="T518" s="47" t="str">
        <f t="shared" si="64"/>
        <v>OK!</v>
      </c>
    </row>
    <row r="519" spans="2:20" ht="16.5" x14ac:dyDescent="0.3">
      <c r="B519" s="129" t="s">
        <v>2678</v>
      </c>
      <c r="C519" s="128">
        <v>5.69</v>
      </c>
      <c r="D519" s="128">
        <v>10.58</v>
      </c>
      <c r="E519" s="128"/>
      <c r="F519" s="148" t="s">
        <v>2916</v>
      </c>
      <c r="G519" s="128">
        <f t="shared" si="65"/>
        <v>5.69</v>
      </c>
      <c r="H519" s="128"/>
      <c r="I519" s="128" t="str">
        <f t="shared" si="66"/>
        <v/>
      </c>
      <c r="J519" s="128"/>
      <c r="K519" s="128" t="str">
        <f t="shared" si="67"/>
        <v/>
      </c>
      <c r="L519" s="128"/>
      <c r="M519" s="128" t="str">
        <f t="shared" si="68"/>
        <v/>
      </c>
      <c r="N519" s="148"/>
      <c r="O519" s="128" t="str">
        <f t="shared" si="69"/>
        <v/>
      </c>
      <c r="P519" s="148"/>
      <c r="Q519" s="128" t="str">
        <f t="shared" si="70"/>
        <v/>
      </c>
      <c r="R519" s="148"/>
      <c r="S519" s="128" t="str">
        <f t="shared" si="71"/>
        <v/>
      </c>
      <c r="T519" s="47" t="str">
        <f t="shared" si="64"/>
        <v>OK!</v>
      </c>
    </row>
    <row r="520" spans="2:20" ht="16.5" x14ac:dyDescent="0.3">
      <c r="B520" s="129" t="s">
        <v>2667</v>
      </c>
      <c r="C520" s="128">
        <v>25.26</v>
      </c>
      <c r="D520" s="128">
        <v>21.06</v>
      </c>
      <c r="E520" s="128"/>
      <c r="F520" s="148" t="s">
        <v>2916</v>
      </c>
      <c r="G520" s="128">
        <f t="shared" si="65"/>
        <v>25.26</v>
      </c>
      <c r="H520" s="128"/>
      <c r="I520" s="128" t="str">
        <f t="shared" si="66"/>
        <v/>
      </c>
      <c r="J520" s="128"/>
      <c r="K520" s="128" t="str">
        <f t="shared" si="67"/>
        <v/>
      </c>
      <c r="L520" s="128"/>
      <c r="M520" s="128" t="str">
        <f t="shared" si="68"/>
        <v/>
      </c>
      <c r="N520" s="148"/>
      <c r="O520" s="128" t="str">
        <f t="shared" si="69"/>
        <v/>
      </c>
      <c r="P520" s="148"/>
      <c r="Q520" s="128" t="str">
        <f t="shared" si="70"/>
        <v/>
      </c>
      <c r="R520" s="148"/>
      <c r="S520" s="128" t="str">
        <f t="shared" si="71"/>
        <v/>
      </c>
      <c r="T520" s="47" t="str">
        <f t="shared" si="64"/>
        <v>OK!</v>
      </c>
    </row>
    <row r="521" spans="2:20" ht="16.5" x14ac:dyDescent="0.3">
      <c r="B521" s="129" t="s">
        <v>2668</v>
      </c>
      <c r="C521" s="128">
        <v>5.19</v>
      </c>
      <c r="D521" s="128">
        <v>10</v>
      </c>
      <c r="E521" s="128"/>
      <c r="F521" s="148" t="s">
        <v>2916</v>
      </c>
      <c r="G521" s="128">
        <f t="shared" si="65"/>
        <v>5.19</v>
      </c>
      <c r="H521" s="128"/>
      <c r="I521" s="128" t="str">
        <f t="shared" si="66"/>
        <v/>
      </c>
      <c r="J521" s="128"/>
      <c r="K521" s="128" t="str">
        <f t="shared" si="67"/>
        <v/>
      </c>
      <c r="L521" s="128"/>
      <c r="M521" s="128" t="str">
        <f t="shared" si="68"/>
        <v/>
      </c>
      <c r="N521" s="148"/>
      <c r="O521" s="128" t="str">
        <f t="shared" si="69"/>
        <v/>
      </c>
      <c r="P521" s="148"/>
      <c r="Q521" s="128" t="str">
        <f t="shared" si="70"/>
        <v/>
      </c>
      <c r="R521" s="148"/>
      <c r="S521" s="128" t="str">
        <f t="shared" si="71"/>
        <v/>
      </c>
      <c r="T521" s="47" t="str">
        <f t="shared" si="64"/>
        <v>OK!</v>
      </c>
    </row>
    <row r="522" spans="2:20" ht="16.5" x14ac:dyDescent="0.3">
      <c r="B522" s="129" t="s">
        <v>2673</v>
      </c>
      <c r="C522" s="128">
        <v>25.3</v>
      </c>
      <c r="D522" s="128">
        <v>21.08</v>
      </c>
      <c r="E522" s="128"/>
      <c r="F522" s="148" t="s">
        <v>2916</v>
      </c>
      <c r="G522" s="128">
        <f t="shared" si="65"/>
        <v>25.3</v>
      </c>
      <c r="H522" s="128"/>
      <c r="I522" s="128" t="str">
        <f t="shared" si="66"/>
        <v/>
      </c>
      <c r="J522" s="128"/>
      <c r="K522" s="128" t="str">
        <f t="shared" si="67"/>
        <v/>
      </c>
      <c r="L522" s="128"/>
      <c r="M522" s="128" t="str">
        <f t="shared" si="68"/>
        <v/>
      </c>
      <c r="N522" s="148"/>
      <c r="O522" s="128" t="str">
        <f t="shared" si="69"/>
        <v/>
      </c>
      <c r="P522" s="148"/>
      <c r="Q522" s="128" t="str">
        <f t="shared" si="70"/>
        <v/>
      </c>
      <c r="R522" s="148"/>
      <c r="S522" s="128" t="str">
        <f t="shared" si="71"/>
        <v/>
      </c>
      <c r="T522" s="47" t="str">
        <f t="shared" si="64"/>
        <v>OK!</v>
      </c>
    </row>
    <row r="523" spans="2:20" ht="16.5" x14ac:dyDescent="0.3">
      <c r="B523" s="129" t="s">
        <v>2674</v>
      </c>
      <c r="C523" s="128">
        <v>5.19</v>
      </c>
      <c r="D523" s="128">
        <v>10</v>
      </c>
      <c r="E523" s="128"/>
      <c r="F523" s="148" t="s">
        <v>2916</v>
      </c>
      <c r="G523" s="128">
        <f t="shared" si="65"/>
        <v>5.19</v>
      </c>
      <c r="H523" s="128"/>
      <c r="I523" s="128" t="str">
        <f t="shared" si="66"/>
        <v/>
      </c>
      <c r="J523" s="128"/>
      <c r="K523" s="128" t="str">
        <f t="shared" si="67"/>
        <v/>
      </c>
      <c r="L523" s="128"/>
      <c r="M523" s="128" t="str">
        <f t="shared" si="68"/>
        <v/>
      </c>
      <c r="N523" s="148"/>
      <c r="O523" s="128" t="str">
        <f t="shared" si="69"/>
        <v/>
      </c>
      <c r="P523" s="148"/>
      <c r="Q523" s="128" t="str">
        <f t="shared" si="70"/>
        <v/>
      </c>
      <c r="R523" s="148"/>
      <c r="S523" s="128" t="str">
        <f t="shared" si="71"/>
        <v/>
      </c>
      <c r="T523" s="47" t="str">
        <f t="shared" si="64"/>
        <v>OK!</v>
      </c>
    </row>
    <row r="524" spans="2:20" ht="16.5" x14ac:dyDescent="0.3">
      <c r="B524" s="129" t="s">
        <v>2594</v>
      </c>
      <c r="C524" s="128">
        <v>29.17</v>
      </c>
      <c r="D524" s="128">
        <v>30.67</v>
      </c>
      <c r="E524" s="128"/>
      <c r="F524" s="148" t="s">
        <v>2916</v>
      </c>
      <c r="G524" s="128">
        <f t="shared" si="65"/>
        <v>29.17</v>
      </c>
      <c r="H524" s="128"/>
      <c r="I524" s="128" t="str">
        <f t="shared" si="66"/>
        <v/>
      </c>
      <c r="J524" s="128"/>
      <c r="K524" s="128" t="str">
        <f t="shared" si="67"/>
        <v/>
      </c>
      <c r="L524" s="128"/>
      <c r="M524" s="128" t="str">
        <f t="shared" si="68"/>
        <v/>
      </c>
      <c r="N524" s="148"/>
      <c r="O524" s="128" t="str">
        <f t="shared" si="69"/>
        <v/>
      </c>
      <c r="P524" s="148"/>
      <c r="Q524" s="128" t="str">
        <f t="shared" si="70"/>
        <v/>
      </c>
      <c r="R524" s="148"/>
      <c r="S524" s="128" t="str">
        <f t="shared" si="71"/>
        <v/>
      </c>
      <c r="T524" s="47" t="str">
        <f t="shared" si="64"/>
        <v>OK!</v>
      </c>
    </row>
    <row r="525" spans="2:20" ht="16.5" x14ac:dyDescent="0.3">
      <c r="B525" s="129" t="s">
        <v>2824</v>
      </c>
      <c r="C525" s="128">
        <v>12.77</v>
      </c>
      <c r="D525" s="128">
        <v>14.38</v>
      </c>
      <c r="E525" s="128"/>
      <c r="F525" s="148" t="s">
        <v>2916</v>
      </c>
      <c r="G525" s="128">
        <f t="shared" si="65"/>
        <v>12.77</v>
      </c>
      <c r="H525" s="128"/>
      <c r="I525" s="128" t="str">
        <f t="shared" si="66"/>
        <v/>
      </c>
      <c r="J525" s="128"/>
      <c r="K525" s="128" t="str">
        <f t="shared" si="67"/>
        <v/>
      </c>
      <c r="L525" s="128"/>
      <c r="M525" s="128" t="str">
        <f t="shared" si="68"/>
        <v/>
      </c>
      <c r="N525" s="148"/>
      <c r="O525" s="128" t="str">
        <f t="shared" si="69"/>
        <v/>
      </c>
      <c r="P525" s="148"/>
      <c r="Q525" s="128" t="str">
        <f t="shared" si="70"/>
        <v/>
      </c>
      <c r="R525" s="148"/>
      <c r="S525" s="128" t="str">
        <f t="shared" si="71"/>
        <v/>
      </c>
      <c r="T525" s="47" t="str">
        <f t="shared" si="64"/>
        <v>OK!</v>
      </c>
    </row>
    <row r="526" spans="2:20" ht="16.5" x14ac:dyDescent="0.3">
      <c r="B526" s="136" t="s">
        <v>2825</v>
      </c>
      <c r="C526" s="128"/>
      <c r="D526" s="128"/>
      <c r="E526" s="128"/>
      <c r="F526" s="148"/>
      <c r="G526" s="128"/>
      <c r="H526" s="128"/>
      <c r="I526" s="128" t="str">
        <f t="shared" si="66"/>
        <v/>
      </c>
      <c r="J526" s="128"/>
      <c r="K526" s="128" t="str">
        <f t="shared" si="67"/>
        <v/>
      </c>
      <c r="L526" s="128"/>
      <c r="M526" s="128" t="str">
        <f t="shared" si="68"/>
        <v/>
      </c>
      <c r="N526" s="148"/>
      <c r="O526" s="128" t="str">
        <f t="shared" si="69"/>
        <v/>
      </c>
      <c r="P526" s="148"/>
      <c r="Q526" s="128" t="str">
        <f t="shared" si="70"/>
        <v/>
      </c>
      <c r="R526" s="148"/>
      <c r="S526" s="128" t="str">
        <f t="shared" si="71"/>
        <v/>
      </c>
      <c r="T526" s="47" t="str">
        <f t="shared" si="64"/>
        <v>OK!</v>
      </c>
    </row>
    <row r="527" spans="2:20" ht="16.5" x14ac:dyDescent="0.3">
      <c r="B527" s="129" t="s">
        <v>2670</v>
      </c>
      <c r="C527" s="128">
        <v>18.920000000000002</v>
      </c>
      <c r="D527" s="128">
        <v>20.8</v>
      </c>
      <c r="E527" s="128"/>
      <c r="F527" s="148" t="s">
        <v>2916</v>
      </c>
      <c r="G527" s="128">
        <f t="shared" si="65"/>
        <v>18.920000000000002</v>
      </c>
      <c r="H527" s="128"/>
      <c r="I527" s="128" t="str">
        <f t="shared" si="66"/>
        <v/>
      </c>
      <c r="J527" s="128"/>
      <c r="K527" s="128" t="str">
        <f t="shared" si="67"/>
        <v/>
      </c>
      <c r="L527" s="128"/>
      <c r="M527" s="128" t="str">
        <f t="shared" si="68"/>
        <v/>
      </c>
      <c r="N527" s="148"/>
      <c r="O527" s="128" t="str">
        <f t="shared" si="69"/>
        <v/>
      </c>
      <c r="P527" s="148"/>
      <c r="Q527" s="128" t="str">
        <f t="shared" si="70"/>
        <v/>
      </c>
      <c r="R527" s="148"/>
      <c r="S527" s="128" t="str">
        <f t="shared" si="71"/>
        <v/>
      </c>
      <c r="T527" s="47" t="str">
        <f t="shared" si="64"/>
        <v>OK!</v>
      </c>
    </row>
    <row r="528" spans="2:20" ht="16.5" x14ac:dyDescent="0.3">
      <c r="B528" s="129" t="s">
        <v>2669</v>
      </c>
      <c r="C528" s="128">
        <v>6.74</v>
      </c>
      <c r="D528" s="128">
        <v>12.1</v>
      </c>
      <c r="E528" s="128"/>
      <c r="F528" s="148" t="s">
        <v>2916</v>
      </c>
      <c r="G528" s="128">
        <f t="shared" si="65"/>
        <v>6.74</v>
      </c>
      <c r="H528" s="128"/>
      <c r="I528" s="128" t="str">
        <f t="shared" si="66"/>
        <v/>
      </c>
      <c r="J528" s="128"/>
      <c r="K528" s="128" t="str">
        <f t="shared" si="67"/>
        <v/>
      </c>
      <c r="L528" s="128"/>
      <c r="M528" s="128" t="str">
        <f t="shared" si="68"/>
        <v/>
      </c>
      <c r="N528" s="148"/>
      <c r="O528" s="128" t="str">
        <f t="shared" si="69"/>
        <v/>
      </c>
      <c r="P528" s="148"/>
      <c r="Q528" s="128" t="str">
        <f t="shared" si="70"/>
        <v/>
      </c>
      <c r="R528" s="148"/>
      <c r="S528" s="128" t="str">
        <f t="shared" si="71"/>
        <v/>
      </c>
      <c r="T528" s="47" t="str">
        <f t="shared" si="64"/>
        <v>OK!</v>
      </c>
    </row>
    <row r="529" spans="2:20" ht="16.5" x14ac:dyDescent="0.3">
      <c r="B529" s="129" t="s">
        <v>2666</v>
      </c>
      <c r="C529" s="128">
        <v>4.53</v>
      </c>
      <c r="D529" s="128">
        <v>8.76</v>
      </c>
      <c r="E529" s="128"/>
      <c r="F529" s="148" t="s">
        <v>2916</v>
      </c>
      <c r="G529" s="128">
        <f t="shared" si="65"/>
        <v>4.53</v>
      </c>
      <c r="H529" s="128"/>
      <c r="I529" s="128" t="str">
        <f t="shared" si="66"/>
        <v/>
      </c>
      <c r="J529" s="128"/>
      <c r="K529" s="128" t="str">
        <f t="shared" si="67"/>
        <v/>
      </c>
      <c r="L529" s="128"/>
      <c r="M529" s="128" t="str">
        <f t="shared" si="68"/>
        <v/>
      </c>
      <c r="N529" s="148"/>
      <c r="O529" s="128" t="str">
        <f t="shared" si="69"/>
        <v/>
      </c>
      <c r="P529" s="148"/>
      <c r="Q529" s="128" t="str">
        <f t="shared" si="70"/>
        <v/>
      </c>
      <c r="R529" s="148"/>
      <c r="S529" s="128" t="str">
        <f t="shared" si="71"/>
        <v/>
      </c>
      <c r="T529" s="47" t="str">
        <f t="shared" si="64"/>
        <v>OK!</v>
      </c>
    </row>
    <row r="530" spans="2:20" ht="16.5" x14ac:dyDescent="0.3">
      <c r="B530" s="129" t="s">
        <v>2591</v>
      </c>
      <c r="C530" s="128">
        <v>3.14</v>
      </c>
      <c r="D530" s="128">
        <v>7.1</v>
      </c>
      <c r="E530" s="128"/>
      <c r="F530" s="148" t="s">
        <v>2916</v>
      </c>
      <c r="G530" s="128">
        <f t="shared" si="65"/>
        <v>3.14</v>
      </c>
      <c r="H530" s="128"/>
      <c r="I530" s="128" t="str">
        <f t="shared" si="66"/>
        <v/>
      </c>
      <c r="J530" s="128"/>
      <c r="K530" s="128" t="str">
        <f t="shared" si="67"/>
        <v/>
      </c>
      <c r="L530" s="128"/>
      <c r="M530" s="128" t="str">
        <f t="shared" si="68"/>
        <v/>
      </c>
      <c r="N530" s="148"/>
      <c r="O530" s="128" t="str">
        <f t="shared" si="69"/>
        <v/>
      </c>
      <c r="P530" s="148"/>
      <c r="Q530" s="128" t="str">
        <f t="shared" si="70"/>
        <v/>
      </c>
      <c r="R530" s="148"/>
      <c r="S530" s="128" t="str">
        <f t="shared" si="71"/>
        <v/>
      </c>
      <c r="T530" s="47" t="str">
        <f t="shared" si="64"/>
        <v>OK!</v>
      </c>
    </row>
    <row r="531" spans="2:20" ht="16.5" x14ac:dyDescent="0.3">
      <c r="B531" s="129" t="s">
        <v>2730</v>
      </c>
      <c r="C531" s="128">
        <v>13.26</v>
      </c>
      <c r="D531" s="128">
        <v>15.01</v>
      </c>
      <c r="E531" s="128"/>
      <c r="F531" s="148" t="s">
        <v>2916</v>
      </c>
      <c r="G531" s="128">
        <f t="shared" si="65"/>
        <v>13.26</v>
      </c>
      <c r="H531" s="128"/>
      <c r="I531" s="128" t="str">
        <f t="shared" si="66"/>
        <v/>
      </c>
      <c r="J531" s="128"/>
      <c r="K531" s="128" t="str">
        <f t="shared" si="67"/>
        <v/>
      </c>
      <c r="L531" s="128"/>
      <c r="M531" s="128" t="str">
        <f t="shared" si="68"/>
        <v/>
      </c>
      <c r="N531" s="148"/>
      <c r="O531" s="128" t="str">
        <f t="shared" si="69"/>
        <v/>
      </c>
      <c r="P531" s="148"/>
      <c r="Q531" s="128" t="str">
        <f t="shared" si="70"/>
        <v/>
      </c>
      <c r="R531" s="148"/>
      <c r="S531" s="128" t="str">
        <f t="shared" si="71"/>
        <v/>
      </c>
      <c r="T531" s="47" t="str">
        <f t="shared" si="64"/>
        <v>OK!</v>
      </c>
    </row>
    <row r="532" spans="2:20" ht="16.5" x14ac:dyDescent="0.3">
      <c r="B532" s="129" t="s">
        <v>2749</v>
      </c>
      <c r="C532" s="128">
        <v>6.68</v>
      </c>
      <c r="D532" s="128">
        <v>10.48</v>
      </c>
      <c r="E532" s="128"/>
      <c r="F532" s="148" t="s">
        <v>2916</v>
      </c>
      <c r="G532" s="128">
        <f t="shared" si="65"/>
        <v>6.68</v>
      </c>
      <c r="H532" s="128"/>
      <c r="I532" s="128" t="str">
        <f t="shared" si="66"/>
        <v/>
      </c>
      <c r="J532" s="128"/>
      <c r="K532" s="128" t="str">
        <f t="shared" si="67"/>
        <v/>
      </c>
      <c r="L532" s="128"/>
      <c r="M532" s="128" t="str">
        <f t="shared" si="68"/>
        <v/>
      </c>
      <c r="N532" s="148"/>
      <c r="O532" s="128" t="str">
        <f t="shared" si="69"/>
        <v/>
      </c>
      <c r="P532" s="148"/>
      <c r="Q532" s="128" t="str">
        <f t="shared" si="70"/>
        <v/>
      </c>
      <c r="R532" s="148"/>
      <c r="S532" s="128" t="str">
        <f t="shared" si="71"/>
        <v/>
      </c>
      <c r="T532" s="47" t="str">
        <f t="shared" si="64"/>
        <v>OK!</v>
      </c>
    </row>
    <row r="533" spans="2:20" ht="16.5" x14ac:dyDescent="0.3">
      <c r="B533" s="129" t="s">
        <v>2750</v>
      </c>
      <c r="C533" s="128">
        <v>6.73</v>
      </c>
      <c r="D533" s="128">
        <v>10.48</v>
      </c>
      <c r="E533" s="128"/>
      <c r="F533" s="148" t="s">
        <v>2916</v>
      </c>
      <c r="G533" s="128">
        <f t="shared" si="65"/>
        <v>6.73</v>
      </c>
      <c r="H533" s="128"/>
      <c r="I533" s="128" t="str">
        <f t="shared" si="66"/>
        <v/>
      </c>
      <c r="J533" s="128"/>
      <c r="K533" s="128" t="str">
        <f t="shared" si="67"/>
        <v/>
      </c>
      <c r="L533" s="128"/>
      <c r="M533" s="128" t="str">
        <f t="shared" si="68"/>
        <v/>
      </c>
      <c r="N533" s="148"/>
      <c r="O533" s="128" t="str">
        <f t="shared" si="69"/>
        <v/>
      </c>
      <c r="P533" s="148"/>
      <c r="Q533" s="128" t="str">
        <f t="shared" si="70"/>
        <v/>
      </c>
      <c r="R533" s="148"/>
      <c r="S533" s="128" t="str">
        <f t="shared" si="71"/>
        <v/>
      </c>
      <c r="T533" s="47" t="str">
        <f t="shared" si="64"/>
        <v>OK!</v>
      </c>
    </row>
    <row r="534" spans="2:20" ht="16.5" x14ac:dyDescent="0.3">
      <c r="B534" s="129" t="s">
        <v>2826</v>
      </c>
      <c r="C534" s="128">
        <v>12.84</v>
      </c>
      <c r="D534" s="128">
        <v>17.399999999999999</v>
      </c>
      <c r="E534" s="128"/>
      <c r="F534" s="148" t="s">
        <v>2916</v>
      </c>
      <c r="G534" s="128">
        <f t="shared" si="65"/>
        <v>12.84</v>
      </c>
      <c r="H534" s="128"/>
      <c r="I534" s="128" t="str">
        <f t="shared" si="66"/>
        <v/>
      </c>
      <c r="J534" s="128"/>
      <c r="K534" s="128" t="str">
        <f t="shared" si="67"/>
        <v/>
      </c>
      <c r="L534" s="128"/>
      <c r="M534" s="128" t="str">
        <f t="shared" si="68"/>
        <v/>
      </c>
      <c r="N534" s="148"/>
      <c r="O534" s="128" t="str">
        <f t="shared" si="69"/>
        <v/>
      </c>
      <c r="P534" s="148"/>
      <c r="Q534" s="128" t="str">
        <f t="shared" si="70"/>
        <v/>
      </c>
      <c r="R534" s="148"/>
      <c r="S534" s="128" t="str">
        <f t="shared" si="71"/>
        <v/>
      </c>
      <c r="T534" s="47" t="str">
        <f t="shared" si="64"/>
        <v>OK!</v>
      </c>
    </row>
    <row r="535" spans="2:20" ht="16.5" x14ac:dyDescent="0.3">
      <c r="B535" s="129" t="s">
        <v>2827</v>
      </c>
      <c r="C535" s="128">
        <v>2.1</v>
      </c>
      <c r="D535" s="128">
        <v>6.35</v>
      </c>
      <c r="E535" s="128"/>
      <c r="F535" s="148" t="s">
        <v>2916</v>
      </c>
      <c r="G535" s="128">
        <f t="shared" si="65"/>
        <v>2.1</v>
      </c>
      <c r="H535" s="128"/>
      <c r="I535" s="128" t="str">
        <f t="shared" si="66"/>
        <v/>
      </c>
      <c r="J535" s="128"/>
      <c r="K535" s="128" t="str">
        <f t="shared" si="67"/>
        <v/>
      </c>
      <c r="L535" s="128"/>
      <c r="M535" s="128" t="str">
        <f t="shared" si="68"/>
        <v/>
      </c>
      <c r="N535" s="148"/>
      <c r="O535" s="128" t="str">
        <f t="shared" si="69"/>
        <v/>
      </c>
      <c r="P535" s="148"/>
      <c r="Q535" s="128" t="str">
        <f t="shared" si="70"/>
        <v/>
      </c>
      <c r="R535" s="148"/>
      <c r="S535" s="128" t="str">
        <f t="shared" si="71"/>
        <v/>
      </c>
      <c r="T535" s="47" t="str">
        <f t="shared" si="64"/>
        <v>OK!</v>
      </c>
    </row>
    <row r="536" spans="2:20" ht="16.5" x14ac:dyDescent="0.3">
      <c r="B536" s="129" t="s">
        <v>2828</v>
      </c>
      <c r="C536" s="128">
        <v>2.5099999999999998</v>
      </c>
      <c r="D536" s="128">
        <v>6.35</v>
      </c>
      <c r="E536" s="128"/>
      <c r="F536" s="148" t="s">
        <v>2916</v>
      </c>
      <c r="G536" s="128">
        <f t="shared" si="65"/>
        <v>2.5099999999999998</v>
      </c>
      <c r="H536" s="128"/>
      <c r="I536" s="128" t="str">
        <f t="shared" si="66"/>
        <v/>
      </c>
      <c r="J536" s="128"/>
      <c r="K536" s="128" t="str">
        <f t="shared" si="67"/>
        <v/>
      </c>
      <c r="L536" s="128"/>
      <c r="M536" s="128" t="str">
        <f t="shared" si="68"/>
        <v/>
      </c>
      <c r="N536" s="148"/>
      <c r="O536" s="128" t="str">
        <f t="shared" si="69"/>
        <v/>
      </c>
      <c r="P536" s="148"/>
      <c r="Q536" s="128" t="str">
        <f t="shared" si="70"/>
        <v/>
      </c>
      <c r="R536" s="148"/>
      <c r="S536" s="128" t="str">
        <f t="shared" si="71"/>
        <v/>
      </c>
      <c r="T536" s="47" t="str">
        <f t="shared" si="64"/>
        <v>OK!</v>
      </c>
    </row>
    <row r="537" spans="2:20" ht="16.5" x14ac:dyDescent="0.3">
      <c r="B537" s="129" t="s">
        <v>2675</v>
      </c>
      <c r="C537" s="128">
        <v>25.26</v>
      </c>
      <c r="D537" s="128">
        <v>21.06</v>
      </c>
      <c r="E537" s="128"/>
      <c r="F537" s="148" t="s">
        <v>2916</v>
      </c>
      <c r="G537" s="128">
        <f t="shared" si="65"/>
        <v>25.26</v>
      </c>
      <c r="H537" s="128"/>
      <c r="I537" s="128" t="str">
        <f t="shared" si="66"/>
        <v/>
      </c>
      <c r="J537" s="128"/>
      <c r="K537" s="128" t="str">
        <f t="shared" si="67"/>
        <v/>
      </c>
      <c r="L537" s="128"/>
      <c r="M537" s="128" t="str">
        <f t="shared" si="68"/>
        <v/>
      </c>
      <c r="N537" s="148"/>
      <c r="O537" s="128" t="str">
        <f t="shared" si="69"/>
        <v/>
      </c>
      <c r="P537" s="148"/>
      <c r="Q537" s="128" t="str">
        <f t="shared" si="70"/>
        <v/>
      </c>
      <c r="R537" s="148"/>
      <c r="S537" s="128" t="str">
        <f t="shared" si="71"/>
        <v/>
      </c>
      <c r="T537" s="47" t="str">
        <f t="shared" si="64"/>
        <v>OK!</v>
      </c>
    </row>
    <row r="538" spans="2:20" ht="16.5" x14ac:dyDescent="0.3">
      <c r="B538" s="129" t="s">
        <v>2676</v>
      </c>
      <c r="C538" s="128">
        <v>5.17</v>
      </c>
      <c r="D538" s="128">
        <v>9.99</v>
      </c>
      <c r="E538" s="128"/>
      <c r="F538" s="148" t="s">
        <v>2916</v>
      </c>
      <c r="G538" s="128">
        <f t="shared" si="65"/>
        <v>5.17</v>
      </c>
      <c r="H538" s="128"/>
      <c r="I538" s="128" t="str">
        <f t="shared" si="66"/>
        <v/>
      </c>
      <c r="J538" s="128"/>
      <c r="K538" s="128" t="str">
        <f t="shared" si="67"/>
        <v/>
      </c>
      <c r="L538" s="128"/>
      <c r="M538" s="128" t="str">
        <f t="shared" si="68"/>
        <v/>
      </c>
      <c r="N538" s="148"/>
      <c r="O538" s="128" t="str">
        <f t="shared" si="69"/>
        <v/>
      </c>
      <c r="P538" s="148"/>
      <c r="Q538" s="128" t="str">
        <f t="shared" si="70"/>
        <v/>
      </c>
      <c r="R538" s="148"/>
      <c r="S538" s="128" t="str">
        <f t="shared" si="71"/>
        <v/>
      </c>
      <c r="T538" s="47" t="str">
        <f t="shared" si="64"/>
        <v>OK!</v>
      </c>
    </row>
    <row r="539" spans="2:20" ht="16.5" x14ac:dyDescent="0.3">
      <c r="B539" s="129" t="s">
        <v>2679</v>
      </c>
      <c r="C539" s="128">
        <v>25.32</v>
      </c>
      <c r="D539" s="128">
        <v>21.08</v>
      </c>
      <c r="E539" s="128"/>
      <c r="F539" s="148" t="s">
        <v>2916</v>
      </c>
      <c r="G539" s="128">
        <f t="shared" si="65"/>
        <v>25.32</v>
      </c>
      <c r="H539" s="128"/>
      <c r="I539" s="128" t="str">
        <f t="shared" si="66"/>
        <v/>
      </c>
      <c r="J539" s="128"/>
      <c r="K539" s="128" t="str">
        <f t="shared" si="67"/>
        <v/>
      </c>
      <c r="L539" s="128"/>
      <c r="M539" s="128" t="str">
        <f t="shared" si="68"/>
        <v/>
      </c>
      <c r="N539" s="148"/>
      <c r="O539" s="128" t="str">
        <f t="shared" si="69"/>
        <v/>
      </c>
      <c r="P539" s="148"/>
      <c r="Q539" s="128" t="str">
        <f t="shared" si="70"/>
        <v/>
      </c>
      <c r="R539" s="148"/>
      <c r="S539" s="128" t="str">
        <f t="shared" si="71"/>
        <v/>
      </c>
      <c r="T539" s="47" t="str">
        <f t="shared" si="64"/>
        <v>OK!</v>
      </c>
    </row>
    <row r="540" spans="2:20" ht="16.5" x14ac:dyDescent="0.3">
      <c r="B540" s="129" t="s">
        <v>2680</v>
      </c>
      <c r="C540" s="128">
        <v>5.17</v>
      </c>
      <c r="D540" s="128">
        <v>9.99</v>
      </c>
      <c r="E540" s="128"/>
      <c r="F540" s="148" t="s">
        <v>2916</v>
      </c>
      <c r="G540" s="128">
        <f t="shared" si="65"/>
        <v>5.17</v>
      </c>
      <c r="H540" s="128"/>
      <c r="I540" s="128" t="str">
        <f t="shared" si="66"/>
        <v/>
      </c>
      <c r="J540" s="128"/>
      <c r="K540" s="128" t="str">
        <f t="shared" si="67"/>
        <v/>
      </c>
      <c r="L540" s="128"/>
      <c r="M540" s="128" t="str">
        <f t="shared" si="68"/>
        <v/>
      </c>
      <c r="N540" s="148"/>
      <c r="O540" s="128" t="str">
        <f t="shared" si="69"/>
        <v/>
      </c>
      <c r="P540" s="148"/>
      <c r="Q540" s="128" t="str">
        <f t="shared" si="70"/>
        <v/>
      </c>
      <c r="R540" s="148"/>
      <c r="S540" s="128" t="str">
        <f t="shared" si="71"/>
        <v/>
      </c>
      <c r="T540" s="47" t="str">
        <f t="shared" si="64"/>
        <v>OK!</v>
      </c>
    </row>
    <row r="541" spans="2:20" ht="16.5" x14ac:dyDescent="0.3">
      <c r="B541" s="129" t="s">
        <v>2594</v>
      </c>
      <c r="C541" s="128">
        <v>77.36</v>
      </c>
      <c r="D541" s="128">
        <v>74.73</v>
      </c>
      <c r="E541" s="128"/>
      <c r="F541" s="148" t="s">
        <v>2916</v>
      </c>
      <c r="G541" s="128">
        <f t="shared" si="65"/>
        <v>77.36</v>
      </c>
      <c r="H541" s="128"/>
      <c r="I541" s="128" t="str">
        <f t="shared" si="66"/>
        <v/>
      </c>
      <c r="J541" s="128"/>
      <c r="K541" s="128" t="str">
        <f t="shared" si="67"/>
        <v/>
      </c>
      <c r="L541" s="128"/>
      <c r="M541" s="128" t="str">
        <f t="shared" si="68"/>
        <v/>
      </c>
      <c r="N541" s="148"/>
      <c r="O541" s="128" t="str">
        <f t="shared" si="69"/>
        <v/>
      </c>
      <c r="P541" s="148"/>
      <c r="Q541" s="128" t="str">
        <f t="shared" si="70"/>
        <v/>
      </c>
      <c r="R541" s="148"/>
      <c r="S541" s="128" t="str">
        <f t="shared" si="71"/>
        <v/>
      </c>
      <c r="T541" s="47" t="str">
        <f t="shared" si="64"/>
        <v>OK!</v>
      </c>
    </row>
    <row r="542" spans="2:20" ht="16.5" x14ac:dyDescent="0.3">
      <c r="B542" s="129" t="s">
        <v>2829</v>
      </c>
      <c r="C542" s="128">
        <v>27.91</v>
      </c>
      <c r="D542" s="128">
        <v>22</v>
      </c>
      <c r="E542" s="128"/>
      <c r="F542" s="148" t="s">
        <v>2916</v>
      </c>
      <c r="G542" s="128">
        <f t="shared" si="65"/>
        <v>27.91</v>
      </c>
      <c r="H542" s="128"/>
      <c r="I542" s="128" t="str">
        <f t="shared" si="66"/>
        <v/>
      </c>
      <c r="J542" s="128"/>
      <c r="K542" s="128" t="str">
        <f t="shared" si="67"/>
        <v/>
      </c>
      <c r="L542" s="128"/>
      <c r="M542" s="128" t="str">
        <f t="shared" si="68"/>
        <v/>
      </c>
      <c r="N542" s="148"/>
      <c r="O542" s="128" t="str">
        <f t="shared" si="69"/>
        <v/>
      </c>
      <c r="P542" s="148"/>
      <c r="Q542" s="128" t="str">
        <f t="shared" si="70"/>
        <v/>
      </c>
      <c r="R542" s="148"/>
      <c r="S542" s="128" t="str">
        <f t="shared" si="71"/>
        <v/>
      </c>
      <c r="T542" s="47" t="str">
        <f t="shared" si="64"/>
        <v>OK!</v>
      </c>
    </row>
    <row r="543" spans="2:20" ht="16.5" x14ac:dyDescent="0.3">
      <c r="B543" s="129" t="s">
        <v>2830</v>
      </c>
      <c r="C543" s="128">
        <v>5.23</v>
      </c>
      <c r="D543" s="128">
        <v>10.06</v>
      </c>
      <c r="E543" s="128"/>
      <c r="F543" s="148" t="s">
        <v>2916</v>
      </c>
      <c r="G543" s="128">
        <f t="shared" si="65"/>
        <v>5.23</v>
      </c>
      <c r="H543" s="128"/>
      <c r="I543" s="128" t="str">
        <f t="shared" si="66"/>
        <v/>
      </c>
      <c r="J543" s="128"/>
      <c r="K543" s="128" t="str">
        <f t="shared" si="67"/>
        <v/>
      </c>
      <c r="L543" s="128"/>
      <c r="M543" s="128" t="str">
        <f t="shared" si="68"/>
        <v/>
      </c>
      <c r="N543" s="148"/>
      <c r="O543" s="128" t="str">
        <f t="shared" si="69"/>
        <v/>
      </c>
      <c r="P543" s="148"/>
      <c r="Q543" s="128" t="str">
        <f t="shared" si="70"/>
        <v/>
      </c>
      <c r="R543" s="148"/>
      <c r="S543" s="128" t="str">
        <f t="shared" si="71"/>
        <v/>
      </c>
      <c r="T543" s="47" t="str">
        <f t="shared" si="64"/>
        <v>OK!</v>
      </c>
    </row>
    <row r="544" spans="2:20" ht="16.5" x14ac:dyDescent="0.3">
      <c r="B544" s="129" t="s">
        <v>2598</v>
      </c>
      <c r="C544" s="128">
        <v>2.83</v>
      </c>
      <c r="D544" s="128">
        <v>7.16</v>
      </c>
      <c r="E544" s="128"/>
      <c r="F544" s="148" t="s">
        <v>2916</v>
      </c>
      <c r="G544" s="128">
        <f t="shared" si="65"/>
        <v>2.83</v>
      </c>
      <c r="H544" s="128"/>
      <c r="I544" s="128" t="str">
        <f t="shared" si="66"/>
        <v/>
      </c>
      <c r="J544" s="128"/>
      <c r="K544" s="128" t="str">
        <f t="shared" si="67"/>
        <v/>
      </c>
      <c r="L544" s="128"/>
      <c r="M544" s="128" t="str">
        <f t="shared" si="68"/>
        <v/>
      </c>
      <c r="N544" s="148"/>
      <c r="O544" s="128" t="str">
        <f t="shared" si="69"/>
        <v/>
      </c>
      <c r="P544" s="148"/>
      <c r="Q544" s="128" t="str">
        <f t="shared" si="70"/>
        <v/>
      </c>
      <c r="R544" s="148"/>
      <c r="S544" s="128" t="str">
        <f t="shared" si="71"/>
        <v/>
      </c>
      <c r="T544" s="47" t="str">
        <f t="shared" si="64"/>
        <v>OK!</v>
      </c>
    </row>
    <row r="545" spans="2:20" ht="16.5" x14ac:dyDescent="0.3">
      <c r="B545" s="129" t="s">
        <v>2678</v>
      </c>
      <c r="C545" s="128">
        <v>5.77</v>
      </c>
      <c r="D545" s="128">
        <v>10.67</v>
      </c>
      <c r="E545" s="128"/>
      <c r="F545" s="148" t="s">
        <v>2916</v>
      </c>
      <c r="G545" s="128">
        <f t="shared" si="65"/>
        <v>5.77</v>
      </c>
      <c r="H545" s="128"/>
      <c r="I545" s="128" t="str">
        <f t="shared" si="66"/>
        <v/>
      </c>
      <c r="J545" s="128"/>
      <c r="K545" s="128" t="str">
        <f t="shared" si="67"/>
        <v/>
      </c>
      <c r="L545" s="128"/>
      <c r="M545" s="128" t="str">
        <f t="shared" si="68"/>
        <v/>
      </c>
      <c r="N545" s="148"/>
      <c r="O545" s="128" t="str">
        <f t="shared" si="69"/>
        <v/>
      </c>
      <c r="P545" s="148"/>
      <c r="Q545" s="128" t="str">
        <f t="shared" si="70"/>
        <v/>
      </c>
      <c r="R545" s="148"/>
      <c r="S545" s="128" t="str">
        <f t="shared" si="71"/>
        <v/>
      </c>
      <c r="T545" s="47" t="str">
        <f t="shared" si="64"/>
        <v>OK!</v>
      </c>
    </row>
    <row r="546" spans="2:20" ht="16.5" x14ac:dyDescent="0.3">
      <c r="B546" s="129" t="s">
        <v>2677</v>
      </c>
      <c r="C546" s="128">
        <v>23.7</v>
      </c>
      <c r="D546" s="128">
        <v>20.28</v>
      </c>
      <c r="E546" s="128"/>
      <c r="F546" s="148" t="s">
        <v>2916</v>
      </c>
      <c r="G546" s="128">
        <f t="shared" si="65"/>
        <v>23.7</v>
      </c>
      <c r="H546" s="128"/>
      <c r="I546" s="128" t="str">
        <f t="shared" si="66"/>
        <v/>
      </c>
      <c r="J546" s="128"/>
      <c r="K546" s="128" t="str">
        <f t="shared" si="67"/>
        <v/>
      </c>
      <c r="L546" s="128"/>
      <c r="M546" s="128" t="str">
        <f t="shared" si="68"/>
        <v/>
      </c>
      <c r="N546" s="148"/>
      <c r="O546" s="128" t="str">
        <f t="shared" si="69"/>
        <v/>
      </c>
      <c r="P546" s="148"/>
      <c r="Q546" s="128" t="str">
        <f t="shared" si="70"/>
        <v/>
      </c>
      <c r="R546" s="148"/>
      <c r="S546" s="128" t="str">
        <f t="shared" si="71"/>
        <v/>
      </c>
      <c r="T546" s="47" t="str">
        <f t="shared" si="64"/>
        <v>OK!</v>
      </c>
    </row>
    <row r="547" spans="2:20" ht="16.5" x14ac:dyDescent="0.3">
      <c r="B547" s="129" t="s">
        <v>2831</v>
      </c>
      <c r="C547" s="128">
        <v>27.49</v>
      </c>
      <c r="D547" s="128">
        <v>21.79</v>
      </c>
      <c r="E547" s="128"/>
      <c r="F547" s="148" t="s">
        <v>2916</v>
      </c>
      <c r="G547" s="128">
        <f t="shared" si="65"/>
        <v>27.49</v>
      </c>
      <c r="H547" s="128"/>
      <c r="I547" s="128" t="str">
        <f t="shared" si="66"/>
        <v/>
      </c>
      <c r="J547" s="128"/>
      <c r="K547" s="128" t="str">
        <f t="shared" si="67"/>
        <v/>
      </c>
      <c r="L547" s="128"/>
      <c r="M547" s="128" t="str">
        <f t="shared" si="68"/>
        <v/>
      </c>
      <c r="N547" s="148"/>
      <c r="O547" s="128" t="str">
        <f t="shared" si="69"/>
        <v/>
      </c>
      <c r="P547" s="148"/>
      <c r="Q547" s="128" t="str">
        <f t="shared" si="70"/>
        <v/>
      </c>
      <c r="R547" s="148"/>
      <c r="S547" s="128" t="str">
        <f t="shared" si="71"/>
        <v/>
      </c>
      <c r="T547" s="47" t="str">
        <f t="shared" si="64"/>
        <v>OK!</v>
      </c>
    </row>
    <row r="548" spans="2:20" ht="16.5" x14ac:dyDescent="0.3">
      <c r="B548" s="129" t="s">
        <v>2832</v>
      </c>
      <c r="C548" s="128">
        <v>5.2</v>
      </c>
      <c r="D548" s="128">
        <v>10.01</v>
      </c>
      <c r="E548" s="128"/>
      <c r="F548" s="148" t="s">
        <v>2916</v>
      </c>
      <c r="G548" s="128">
        <f t="shared" si="65"/>
        <v>5.2</v>
      </c>
      <c r="H548" s="128"/>
      <c r="I548" s="128" t="str">
        <f t="shared" si="66"/>
        <v/>
      </c>
      <c r="J548" s="128"/>
      <c r="K548" s="128" t="str">
        <f t="shared" si="67"/>
        <v/>
      </c>
      <c r="L548" s="128"/>
      <c r="M548" s="128" t="str">
        <f t="shared" si="68"/>
        <v/>
      </c>
      <c r="N548" s="148"/>
      <c r="O548" s="128" t="str">
        <f t="shared" si="69"/>
        <v/>
      </c>
      <c r="P548" s="148"/>
      <c r="Q548" s="128" t="str">
        <f t="shared" si="70"/>
        <v/>
      </c>
      <c r="R548" s="148"/>
      <c r="S548" s="128" t="str">
        <f t="shared" si="71"/>
        <v/>
      </c>
      <c r="T548" s="47" t="str">
        <f t="shared" si="64"/>
        <v>OK!</v>
      </c>
    </row>
    <row r="549" spans="2:20" ht="16.5" x14ac:dyDescent="0.3">
      <c r="B549" s="129" t="s">
        <v>2833</v>
      </c>
      <c r="C549" s="128">
        <v>27.41</v>
      </c>
      <c r="D549" s="128">
        <v>21.79</v>
      </c>
      <c r="E549" s="128"/>
      <c r="F549" s="148" t="s">
        <v>2916</v>
      </c>
      <c r="G549" s="128">
        <f t="shared" si="65"/>
        <v>27.41</v>
      </c>
      <c r="H549" s="128"/>
      <c r="I549" s="128" t="str">
        <f t="shared" si="66"/>
        <v/>
      </c>
      <c r="J549" s="128"/>
      <c r="K549" s="128" t="str">
        <f t="shared" si="67"/>
        <v/>
      </c>
      <c r="L549" s="128"/>
      <c r="M549" s="128" t="str">
        <f t="shared" si="68"/>
        <v/>
      </c>
      <c r="N549" s="148"/>
      <c r="O549" s="128" t="str">
        <f t="shared" si="69"/>
        <v/>
      </c>
      <c r="P549" s="148"/>
      <c r="Q549" s="128" t="str">
        <f t="shared" si="70"/>
        <v/>
      </c>
      <c r="R549" s="148"/>
      <c r="S549" s="128" t="str">
        <f t="shared" si="71"/>
        <v/>
      </c>
      <c r="T549" s="47" t="str">
        <f t="shared" si="64"/>
        <v>OK!</v>
      </c>
    </row>
    <row r="550" spans="2:20" ht="16.5" x14ac:dyDescent="0.3">
      <c r="B550" s="129" t="s">
        <v>2834</v>
      </c>
      <c r="C550" s="128">
        <v>5.2</v>
      </c>
      <c r="D550" s="128">
        <v>10.01</v>
      </c>
      <c r="E550" s="128"/>
      <c r="F550" s="148" t="s">
        <v>2916</v>
      </c>
      <c r="G550" s="128">
        <f t="shared" si="65"/>
        <v>5.2</v>
      </c>
      <c r="H550" s="128"/>
      <c r="I550" s="128" t="str">
        <f t="shared" si="66"/>
        <v/>
      </c>
      <c r="J550" s="128"/>
      <c r="K550" s="128" t="str">
        <f t="shared" si="67"/>
        <v/>
      </c>
      <c r="L550" s="128"/>
      <c r="M550" s="128" t="str">
        <f t="shared" si="68"/>
        <v/>
      </c>
      <c r="N550" s="148"/>
      <c r="O550" s="128" t="str">
        <f t="shared" si="69"/>
        <v/>
      </c>
      <c r="P550" s="148"/>
      <c r="Q550" s="128" t="str">
        <f t="shared" si="70"/>
        <v/>
      </c>
      <c r="R550" s="148"/>
      <c r="S550" s="128" t="str">
        <f t="shared" si="71"/>
        <v/>
      </c>
      <c r="T550" s="47" t="str">
        <f t="shared" si="64"/>
        <v>OK!</v>
      </c>
    </row>
    <row r="551" spans="2:20" ht="16.5" x14ac:dyDescent="0.3">
      <c r="B551" s="129" t="s">
        <v>2835</v>
      </c>
      <c r="C551" s="128">
        <v>27.34</v>
      </c>
      <c r="D551" s="128">
        <v>21.77</v>
      </c>
      <c r="E551" s="128"/>
      <c r="F551" s="148" t="s">
        <v>2916</v>
      </c>
      <c r="G551" s="128">
        <f t="shared" si="65"/>
        <v>27.34</v>
      </c>
      <c r="H551" s="128"/>
      <c r="I551" s="128" t="str">
        <f t="shared" si="66"/>
        <v/>
      </c>
      <c r="J551" s="128"/>
      <c r="K551" s="128" t="str">
        <f t="shared" si="67"/>
        <v/>
      </c>
      <c r="L551" s="128"/>
      <c r="M551" s="128" t="str">
        <f t="shared" si="68"/>
        <v/>
      </c>
      <c r="N551" s="148"/>
      <c r="O551" s="128" t="str">
        <f t="shared" si="69"/>
        <v/>
      </c>
      <c r="P551" s="148"/>
      <c r="Q551" s="128" t="str">
        <f t="shared" si="70"/>
        <v/>
      </c>
      <c r="R551" s="148"/>
      <c r="S551" s="128" t="str">
        <f t="shared" si="71"/>
        <v/>
      </c>
      <c r="T551" s="47" t="str">
        <f t="shared" si="64"/>
        <v>OK!</v>
      </c>
    </row>
    <row r="552" spans="2:20" ht="16.5" x14ac:dyDescent="0.3">
      <c r="B552" s="129" t="s">
        <v>2836</v>
      </c>
      <c r="C552" s="128">
        <v>5.7</v>
      </c>
      <c r="D552" s="128">
        <v>10.11</v>
      </c>
      <c r="E552" s="128"/>
      <c r="F552" s="148" t="s">
        <v>2916</v>
      </c>
      <c r="G552" s="128">
        <f t="shared" si="65"/>
        <v>5.7</v>
      </c>
      <c r="H552" s="128"/>
      <c r="I552" s="128" t="str">
        <f t="shared" si="66"/>
        <v/>
      </c>
      <c r="J552" s="128"/>
      <c r="K552" s="128" t="str">
        <f t="shared" si="67"/>
        <v/>
      </c>
      <c r="L552" s="128"/>
      <c r="M552" s="128" t="str">
        <f t="shared" si="68"/>
        <v/>
      </c>
      <c r="N552" s="148"/>
      <c r="O552" s="128" t="str">
        <f t="shared" si="69"/>
        <v/>
      </c>
      <c r="P552" s="148"/>
      <c r="Q552" s="128" t="str">
        <f t="shared" si="70"/>
        <v/>
      </c>
      <c r="R552" s="148"/>
      <c r="S552" s="128" t="str">
        <f t="shared" si="71"/>
        <v/>
      </c>
      <c r="T552" s="47" t="str">
        <f t="shared" si="64"/>
        <v>OK!</v>
      </c>
    </row>
    <row r="553" spans="2:20" ht="16.5" x14ac:dyDescent="0.3">
      <c r="B553" s="129" t="s">
        <v>2594</v>
      </c>
      <c r="C553" s="128">
        <v>136.75</v>
      </c>
      <c r="D553" s="128">
        <v>107.5</v>
      </c>
      <c r="E553" s="128">
        <v>2.6</v>
      </c>
      <c r="F553" s="148" t="s">
        <v>2916</v>
      </c>
      <c r="G553" s="128">
        <f t="shared" si="65"/>
        <v>136.75</v>
      </c>
      <c r="H553" s="128"/>
      <c r="I553" s="128" t="str">
        <f t="shared" si="66"/>
        <v/>
      </c>
      <c r="J553" s="128"/>
      <c r="K553" s="128" t="str">
        <f t="shared" si="67"/>
        <v/>
      </c>
      <c r="L553" s="128"/>
      <c r="M553" s="128" t="str">
        <f t="shared" si="68"/>
        <v/>
      </c>
      <c r="N553" s="148"/>
      <c r="O553" s="128" t="str">
        <f t="shared" si="69"/>
        <v/>
      </c>
      <c r="P553" s="148"/>
      <c r="Q553" s="128" t="str">
        <f t="shared" si="70"/>
        <v/>
      </c>
      <c r="R553" s="148"/>
      <c r="S553" s="128" t="str">
        <f t="shared" si="71"/>
        <v/>
      </c>
      <c r="T553" s="47" t="str">
        <f t="shared" si="64"/>
        <v>OK!</v>
      </c>
    </row>
    <row r="554" spans="2:20" ht="16.5" x14ac:dyDescent="0.3">
      <c r="B554" s="136" t="s">
        <v>2837</v>
      </c>
      <c r="C554" s="128"/>
      <c r="D554" s="128"/>
      <c r="E554" s="128"/>
      <c r="F554" s="148"/>
      <c r="G554" s="128"/>
      <c r="H554" s="128"/>
      <c r="I554" s="128" t="str">
        <f t="shared" si="66"/>
        <v/>
      </c>
      <c r="J554" s="128"/>
      <c r="K554" s="128" t="str">
        <f t="shared" si="67"/>
        <v/>
      </c>
      <c r="L554" s="128"/>
      <c r="M554" s="128" t="str">
        <f t="shared" si="68"/>
        <v/>
      </c>
      <c r="N554" s="148"/>
      <c r="O554" s="128" t="str">
        <f t="shared" si="69"/>
        <v/>
      </c>
      <c r="P554" s="148"/>
      <c r="Q554" s="128" t="str">
        <f t="shared" si="70"/>
        <v/>
      </c>
      <c r="R554" s="148"/>
      <c r="S554" s="128" t="str">
        <f t="shared" si="71"/>
        <v/>
      </c>
      <c r="T554" s="47" t="str">
        <f t="shared" si="64"/>
        <v>OK!</v>
      </c>
    </row>
    <row r="555" spans="2:20" ht="16.5" x14ac:dyDescent="0.3">
      <c r="B555" s="129" t="s">
        <v>2642</v>
      </c>
      <c r="C555" s="128">
        <v>25.32</v>
      </c>
      <c r="D555" s="128">
        <v>21.07</v>
      </c>
      <c r="E555" s="128"/>
      <c r="F555" s="148" t="s">
        <v>2916</v>
      </c>
      <c r="G555" s="128">
        <f t="shared" si="65"/>
        <v>25.32</v>
      </c>
      <c r="H555" s="128"/>
      <c r="I555" s="128" t="str">
        <f t="shared" si="66"/>
        <v/>
      </c>
      <c r="J555" s="128"/>
      <c r="K555" s="128" t="str">
        <f t="shared" si="67"/>
        <v/>
      </c>
      <c r="L555" s="128"/>
      <c r="M555" s="128" t="str">
        <f t="shared" si="68"/>
        <v/>
      </c>
      <c r="N555" s="148"/>
      <c r="O555" s="128" t="str">
        <f t="shared" si="69"/>
        <v/>
      </c>
      <c r="P555" s="148"/>
      <c r="Q555" s="128" t="str">
        <f t="shared" si="70"/>
        <v/>
      </c>
      <c r="R555" s="148"/>
      <c r="S555" s="128" t="str">
        <f t="shared" si="71"/>
        <v/>
      </c>
      <c r="T555" s="47" t="str">
        <f t="shared" si="64"/>
        <v>OK!</v>
      </c>
    </row>
    <row r="556" spans="2:20" ht="16.5" x14ac:dyDescent="0.3">
      <c r="B556" s="129" t="s">
        <v>2643</v>
      </c>
      <c r="C556" s="128">
        <v>5.17</v>
      </c>
      <c r="D556" s="128">
        <v>9.99</v>
      </c>
      <c r="E556" s="128"/>
      <c r="F556" s="148" t="s">
        <v>2916</v>
      </c>
      <c r="G556" s="128">
        <f t="shared" si="65"/>
        <v>5.17</v>
      </c>
      <c r="H556" s="128"/>
      <c r="I556" s="128" t="str">
        <f t="shared" si="66"/>
        <v/>
      </c>
      <c r="J556" s="128"/>
      <c r="K556" s="128" t="str">
        <f t="shared" si="67"/>
        <v/>
      </c>
      <c r="L556" s="128"/>
      <c r="M556" s="128" t="str">
        <f t="shared" si="68"/>
        <v/>
      </c>
      <c r="N556" s="148"/>
      <c r="O556" s="128" t="str">
        <f t="shared" si="69"/>
        <v/>
      </c>
      <c r="P556" s="148"/>
      <c r="Q556" s="128" t="str">
        <f t="shared" si="70"/>
        <v/>
      </c>
      <c r="R556" s="148"/>
      <c r="S556" s="128" t="str">
        <f t="shared" si="71"/>
        <v/>
      </c>
      <c r="T556" s="47" t="str">
        <f t="shared" si="64"/>
        <v>OK!</v>
      </c>
    </row>
    <row r="557" spans="2:20" ht="16.5" x14ac:dyDescent="0.3">
      <c r="B557" s="129" t="s">
        <v>2644</v>
      </c>
      <c r="C557" s="128">
        <v>25.37</v>
      </c>
      <c r="D557" s="128">
        <v>21.11</v>
      </c>
      <c r="E557" s="128"/>
      <c r="F557" s="148" t="s">
        <v>2916</v>
      </c>
      <c r="G557" s="128">
        <f t="shared" si="65"/>
        <v>25.37</v>
      </c>
      <c r="H557" s="128"/>
      <c r="I557" s="128" t="str">
        <f t="shared" si="66"/>
        <v/>
      </c>
      <c r="J557" s="128"/>
      <c r="K557" s="128" t="str">
        <f t="shared" si="67"/>
        <v/>
      </c>
      <c r="L557" s="128"/>
      <c r="M557" s="128" t="str">
        <f t="shared" si="68"/>
        <v/>
      </c>
      <c r="N557" s="148"/>
      <c r="O557" s="128" t="str">
        <f t="shared" si="69"/>
        <v/>
      </c>
      <c r="P557" s="148"/>
      <c r="Q557" s="128" t="str">
        <f t="shared" si="70"/>
        <v/>
      </c>
      <c r="R557" s="148"/>
      <c r="S557" s="128" t="str">
        <f t="shared" si="71"/>
        <v/>
      </c>
      <c r="T557" s="47" t="str">
        <f t="shared" si="64"/>
        <v>OK!</v>
      </c>
    </row>
    <row r="558" spans="2:20" ht="16.5" x14ac:dyDescent="0.3">
      <c r="B558" s="129" t="s">
        <v>2645</v>
      </c>
      <c r="C558" s="128">
        <v>5.18</v>
      </c>
      <c r="D558" s="128">
        <v>9.99</v>
      </c>
      <c r="E558" s="150"/>
      <c r="F558" s="148" t="s">
        <v>2916</v>
      </c>
      <c r="G558" s="128">
        <f t="shared" si="65"/>
        <v>5.18</v>
      </c>
      <c r="H558" s="128"/>
      <c r="I558" s="128" t="str">
        <f t="shared" si="66"/>
        <v/>
      </c>
      <c r="J558" s="128"/>
      <c r="K558" s="128" t="str">
        <f t="shared" si="67"/>
        <v/>
      </c>
      <c r="L558" s="128"/>
      <c r="M558" s="128" t="str">
        <f t="shared" si="68"/>
        <v/>
      </c>
      <c r="N558" s="148"/>
      <c r="O558" s="128" t="str">
        <f t="shared" si="69"/>
        <v/>
      </c>
      <c r="P558" s="148"/>
      <c r="Q558" s="128" t="str">
        <f t="shared" si="70"/>
        <v/>
      </c>
      <c r="R558" s="148"/>
      <c r="S558" s="128" t="str">
        <f t="shared" si="71"/>
        <v/>
      </c>
      <c r="T558" s="47" t="str">
        <f t="shared" si="64"/>
        <v>OK!</v>
      </c>
    </row>
    <row r="559" spans="2:20" ht="16.5" x14ac:dyDescent="0.3">
      <c r="B559" s="129" t="s">
        <v>2646</v>
      </c>
      <c r="C559" s="128">
        <v>25.37</v>
      </c>
      <c r="D559" s="128">
        <v>21.11</v>
      </c>
      <c r="E559" s="150"/>
      <c r="F559" s="148" t="s">
        <v>2916</v>
      </c>
      <c r="G559" s="128">
        <f t="shared" si="65"/>
        <v>25.37</v>
      </c>
      <c r="H559" s="128"/>
      <c r="I559" s="128" t="str">
        <f t="shared" si="66"/>
        <v/>
      </c>
      <c r="J559" s="128"/>
      <c r="K559" s="128" t="str">
        <f t="shared" si="67"/>
        <v/>
      </c>
      <c r="L559" s="128"/>
      <c r="M559" s="128" t="str">
        <f t="shared" si="68"/>
        <v/>
      </c>
      <c r="N559" s="148"/>
      <c r="O559" s="128" t="str">
        <f t="shared" si="69"/>
        <v/>
      </c>
      <c r="P559" s="148"/>
      <c r="Q559" s="128" t="str">
        <f t="shared" si="70"/>
        <v/>
      </c>
      <c r="R559" s="148"/>
      <c r="S559" s="128" t="str">
        <f t="shared" si="71"/>
        <v/>
      </c>
      <c r="T559" s="47" t="str">
        <f t="shared" si="64"/>
        <v>OK!</v>
      </c>
    </row>
    <row r="560" spans="2:20" ht="16.5" x14ac:dyDescent="0.3">
      <c r="B560" s="129" t="s">
        <v>2647</v>
      </c>
      <c r="C560" s="128">
        <v>5.18</v>
      </c>
      <c r="D560" s="128">
        <v>9.99</v>
      </c>
      <c r="E560" s="150"/>
      <c r="F560" s="148" t="s">
        <v>2916</v>
      </c>
      <c r="G560" s="128">
        <f t="shared" si="65"/>
        <v>5.18</v>
      </c>
      <c r="H560" s="128"/>
      <c r="I560" s="128" t="str">
        <f t="shared" si="66"/>
        <v/>
      </c>
      <c r="J560" s="128"/>
      <c r="K560" s="128" t="str">
        <f t="shared" si="67"/>
        <v/>
      </c>
      <c r="L560" s="128"/>
      <c r="M560" s="128" t="str">
        <f t="shared" si="68"/>
        <v/>
      </c>
      <c r="N560" s="148"/>
      <c r="O560" s="128" t="str">
        <f t="shared" si="69"/>
        <v/>
      </c>
      <c r="P560" s="148"/>
      <c r="Q560" s="128" t="str">
        <f t="shared" si="70"/>
        <v/>
      </c>
      <c r="R560" s="148"/>
      <c r="S560" s="128" t="str">
        <f t="shared" si="71"/>
        <v/>
      </c>
      <c r="T560" s="47" t="str">
        <f t="shared" si="64"/>
        <v>OK!</v>
      </c>
    </row>
    <row r="561" spans="2:20" ht="16.5" x14ac:dyDescent="0.3">
      <c r="B561" s="129" t="s">
        <v>2648</v>
      </c>
      <c r="C561" s="128">
        <v>25.87</v>
      </c>
      <c r="D561" s="128">
        <v>21.32</v>
      </c>
      <c r="E561" s="128"/>
      <c r="F561" s="148" t="s">
        <v>2916</v>
      </c>
      <c r="G561" s="128">
        <f t="shared" si="65"/>
        <v>25.87</v>
      </c>
      <c r="H561" s="128"/>
      <c r="I561" s="128" t="str">
        <f t="shared" si="66"/>
        <v/>
      </c>
      <c r="J561" s="128"/>
      <c r="K561" s="128" t="str">
        <f t="shared" si="67"/>
        <v/>
      </c>
      <c r="L561" s="128"/>
      <c r="M561" s="128" t="str">
        <f t="shared" si="68"/>
        <v/>
      </c>
      <c r="N561" s="148"/>
      <c r="O561" s="128" t="str">
        <f t="shared" si="69"/>
        <v/>
      </c>
      <c r="P561" s="148"/>
      <c r="Q561" s="128" t="str">
        <f t="shared" si="70"/>
        <v/>
      </c>
      <c r="R561" s="148"/>
      <c r="S561" s="128" t="str">
        <f t="shared" si="71"/>
        <v/>
      </c>
      <c r="T561" s="47" t="str">
        <f t="shared" si="64"/>
        <v>OK!</v>
      </c>
    </row>
    <row r="562" spans="2:20" ht="16.5" x14ac:dyDescent="0.3">
      <c r="B562" s="129" t="s">
        <v>2649</v>
      </c>
      <c r="C562" s="128">
        <v>5.17</v>
      </c>
      <c r="D562" s="128">
        <v>9.99</v>
      </c>
      <c r="E562" s="128"/>
      <c r="F562" s="148" t="s">
        <v>2916</v>
      </c>
      <c r="G562" s="128">
        <f t="shared" si="65"/>
        <v>5.17</v>
      </c>
      <c r="H562" s="128"/>
      <c r="I562" s="128" t="str">
        <f t="shared" si="66"/>
        <v/>
      </c>
      <c r="J562" s="128"/>
      <c r="K562" s="128" t="str">
        <f t="shared" si="67"/>
        <v/>
      </c>
      <c r="L562" s="128"/>
      <c r="M562" s="128" t="str">
        <f t="shared" si="68"/>
        <v/>
      </c>
      <c r="N562" s="148"/>
      <c r="O562" s="128" t="str">
        <f t="shared" si="69"/>
        <v/>
      </c>
      <c r="P562" s="148"/>
      <c r="Q562" s="128" t="str">
        <f t="shared" si="70"/>
        <v/>
      </c>
      <c r="R562" s="148"/>
      <c r="S562" s="128" t="str">
        <f t="shared" si="71"/>
        <v/>
      </c>
      <c r="T562" s="47" t="str">
        <f t="shared" si="64"/>
        <v>OK!</v>
      </c>
    </row>
    <row r="563" spans="2:20" ht="16.5" x14ac:dyDescent="0.3">
      <c r="B563" s="129" t="s">
        <v>2594</v>
      </c>
      <c r="C563" s="128">
        <v>62.86</v>
      </c>
      <c r="D563" s="128">
        <v>63.1</v>
      </c>
      <c r="E563" s="128"/>
      <c r="F563" s="148" t="s">
        <v>2916</v>
      </c>
      <c r="G563" s="128">
        <f t="shared" si="65"/>
        <v>62.86</v>
      </c>
      <c r="H563" s="128"/>
      <c r="I563" s="128" t="str">
        <f t="shared" si="66"/>
        <v/>
      </c>
      <c r="J563" s="128"/>
      <c r="K563" s="128" t="str">
        <f t="shared" si="67"/>
        <v/>
      </c>
      <c r="L563" s="128"/>
      <c r="M563" s="128" t="str">
        <f t="shared" si="68"/>
        <v/>
      </c>
      <c r="N563" s="148"/>
      <c r="O563" s="128" t="str">
        <f t="shared" si="69"/>
        <v/>
      </c>
      <c r="P563" s="148"/>
      <c r="Q563" s="128" t="str">
        <f t="shared" si="70"/>
        <v/>
      </c>
      <c r="R563" s="148"/>
      <c r="S563" s="128" t="str">
        <f t="shared" si="71"/>
        <v/>
      </c>
      <c r="T563" s="47" t="str">
        <f t="shared" si="64"/>
        <v>OK!</v>
      </c>
    </row>
    <row r="564" spans="2:20" ht="16.5" x14ac:dyDescent="0.3">
      <c r="B564" s="129" t="s">
        <v>2651</v>
      </c>
      <c r="C564" s="128">
        <v>27.41</v>
      </c>
      <c r="D564" s="128">
        <v>21.75</v>
      </c>
      <c r="E564" s="128"/>
      <c r="F564" s="148" t="s">
        <v>2916</v>
      </c>
      <c r="G564" s="128">
        <f t="shared" si="65"/>
        <v>27.41</v>
      </c>
      <c r="H564" s="128"/>
      <c r="I564" s="128" t="str">
        <f t="shared" si="66"/>
        <v/>
      </c>
      <c r="J564" s="128"/>
      <c r="K564" s="128" t="str">
        <f t="shared" si="67"/>
        <v/>
      </c>
      <c r="L564" s="128"/>
      <c r="M564" s="128" t="str">
        <f t="shared" si="68"/>
        <v/>
      </c>
      <c r="N564" s="148"/>
      <c r="O564" s="128" t="str">
        <f t="shared" si="69"/>
        <v/>
      </c>
      <c r="P564" s="148"/>
      <c r="Q564" s="128" t="str">
        <f t="shared" si="70"/>
        <v/>
      </c>
      <c r="R564" s="148"/>
      <c r="S564" s="128" t="str">
        <f t="shared" si="71"/>
        <v/>
      </c>
      <c r="T564" s="47" t="str">
        <f t="shared" si="64"/>
        <v>OK!</v>
      </c>
    </row>
    <row r="565" spans="2:20" ht="16.5" x14ac:dyDescent="0.3">
      <c r="B565" s="129" t="s">
        <v>2652</v>
      </c>
      <c r="C565" s="128">
        <v>5.18</v>
      </c>
      <c r="D565" s="128">
        <v>9.99</v>
      </c>
      <c r="E565" s="128"/>
      <c r="F565" s="148" t="s">
        <v>2916</v>
      </c>
      <c r="G565" s="128">
        <f t="shared" si="65"/>
        <v>5.18</v>
      </c>
      <c r="H565" s="128"/>
      <c r="I565" s="128" t="str">
        <f t="shared" si="66"/>
        <v/>
      </c>
      <c r="J565" s="128"/>
      <c r="K565" s="128" t="str">
        <f t="shared" si="67"/>
        <v/>
      </c>
      <c r="L565" s="128"/>
      <c r="M565" s="128" t="str">
        <f t="shared" si="68"/>
        <v/>
      </c>
      <c r="N565" s="148"/>
      <c r="O565" s="128" t="str">
        <f t="shared" si="69"/>
        <v/>
      </c>
      <c r="P565" s="148"/>
      <c r="Q565" s="128" t="str">
        <f t="shared" si="70"/>
        <v/>
      </c>
      <c r="R565" s="148"/>
      <c r="S565" s="128" t="str">
        <f t="shared" si="71"/>
        <v/>
      </c>
      <c r="T565" s="47" t="str">
        <f t="shared" si="64"/>
        <v>OK!</v>
      </c>
    </row>
    <row r="566" spans="2:20" ht="16.5" x14ac:dyDescent="0.3">
      <c r="B566" s="129" t="s">
        <v>2678</v>
      </c>
      <c r="C566" s="128">
        <v>5.71</v>
      </c>
      <c r="D566" s="128">
        <v>10.6</v>
      </c>
      <c r="E566" s="128"/>
      <c r="F566" s="148" t="s">
        <v>2916</v>
      </c>
      <c r="G566" s="128">
        <f t="shared" si="65"/>
        <v>5.71</v>
      </c>
      <c r="H566" s="128"/>
      <c r="I566" s="128" t="str">
        <f t="shared" si="66"/>
        <v/>
      </c>
      <c r="J566" s="128"/>
      <c r="K566" s="128" t="str">
        <f t="shared" si="67"/>
        <v/>
      </c>
      <c r="L566" s="128"/>
      <c r="M566" s="128" t="str">
        <f t="shared" si="68"/>
        <v/>
      </c>
      <c r="N566" s="148"/>
      <c r="O566" s="128" t="str">
        <f t="shared" si="69"/>
        <v/>
      </c>
      <c r="P566" s="148"/>
      <c r="Q566" s="128" t="str">
        <f t="shared" si="70"/>
        <v/>
      </c>
      <c r="R566" s="148"/>
      <c r="S566" s="128" t="str">
        <f t="shared" si="71"/>
        <v/>
      </c>
      <c r="T566" s="47" t="str">
        <f t="shared" si="64"/>
        <v>OK!</v>
      </c>
    </row>
    <row r="567" spans="2:20" ht="16.5" x14ac:dyDescent="0.3">
      <c r="B567" s="129" t="s">
        <v>2838</v>
      </c>
      <c r="C567" s="128">
        <v>10.69</v>
      </c>
      <c r="D567" s="128">
        <v>14.12</v>
      </c>
      <c r="E567" s="128"/>
      <c r="F567" s="148" t="s">
        <v>2916</v>
      </c>
      <c r="G567" s="128">
        <f t="shared" si="65"/>
        <v>10.69</v>
      </c>
      <c r="H567" s="128"/>
      <c r="I567" s="128" t="str">
        <f t="shared" si="66"/>
        <v/>
      </c>
      <c r="J567" s="128"/>
      <c r="K567" s="128" t="str">
        <f t="shared" si="67"/>
        <v/>
      </c>
      <c r="L567" s="128"/>
      <c r="M567" s="128" t="str">
        <f t="shared" si="68"/>
        <v/>
      </c>
      <c r="N567" s="148"/>
      <c r="O567" s="128" t="str">
        <f t="shared" si="69"/>
        <v/>
      </c>
      <c r="P567" s="148"/>
      <c r="Q567" s="128" t="str">
        <f t="shared" si="70"/>
        <v/>
      </c>
      <c r="R567" s="148"/>
      <c r="S567" s="128" t="str">
        <f t="shared" si="71"/>
        <v/>
      </c>
      <c r="T567" s="47" t="str">
        <f t="shared" si="64"/>
        <v>OK!</v>
      </c>
    </row>
    <row r="568" spans="2:20" ht="16.5" x14ac:dyDescent="0.3">
      <c r="B568" s="129" t="s">
        <v>2655</v>
      </c>
      <c r="C568" s="128">
        <v>7.24</v>
      </c>
      <c r="D568" s="128">
        <v>10.91</v>
      </c>
      <c r="E568" s="128"/>
      <c r="F568" s="148" t="s">
        <v>2916</v>
      </c>
      <c r="G568" s="128">
        <f t="shared" si="65"/>
        <v>7.24</v>
      </c>
      <c r="H568" s="128"/>
      <c r="I568" s="128" t="str">
        <f t="shared" si="66"/>
        <v/>
      </c>
      <c r="J568" s="128"/>
      <c r="K568" s="128" t="str">
        <f t="shared" si="67"/>
        <v/>
      </c>
      <c r="L568" s="128"/>
      <c r="M568" s="128" t="str">
        <f t="shared" si="68"/>
        <v/>
      </c>
      <c r="N568" s="148"/>
      <c r="O568" s="128" t="str">
        <f t="shared" si="69"/>
        <v/>
      </c>
      <c r="P568" s="148"/>
      <c r="Q568" s="128" t="str">
        <f t="shared" si="70"/>
        <v/>
      </c>
      <c r="R568" s="148"/>
      <c r="S568" s="128" t="str">
        <f t="shared" si="71"/>
        <v/>
      </c>
      <c r="T568" s="47" t="str">
        <f t="shared" si="64"/>
        <v>OK!</v>
      </c>
    </row>
    <row r="569" spans="2:20" ht="16.5" x14ac:dyDescent="0.3">
      <c r="B569" s="129" t="s">
        <v>2822</v>
      </c>
      <c r="C569" s="128">
        <v>7.29</v>
      </c>
      <c r="D569" s="128">
        <v>10.91</v>
      </c>
      <c r="E569" s="128"/>
      <c r="F569" s="148" t="s">
        <v>2916</v>
      </c>
      <c r="G569" s="128">
        <f t="shared" si="65"/>
        <v>7.29</v>
      </c>
      <c r="H569" s="128"/>
      <c r="I569" s="128" t="str">
        <f t="shared" si="66"/>
        <v/>
      </c>
      <c r="J569" s="128"/>
      <c r="K569" s="128" t="str">
        <f t="shared" si="67"/>
        <v/>
      </c>
      <c r="L569" s="128"/>
      <c r="M569" s="128" t="str">
        <f t="shared" si="68"/>
        <v/>
      </c>
      <c r="N569" s="148"/>
      <c r="O569" s="128" t="str">
        <f t="shared" si="69"/>
        <v/>
      </c>
      <c r="P569" s="148"/>
      <c r="Q569" s="128" t="str">
        <f t="shared" si="70"/>
        <v/>
      </c>
      <c r="R569" s="148"/>
      <c r="S569" s="128" t="str">
        <f t="shared" si="71"/>
        <v/>
      </c>
      <c r="T569" s="47" t="str">
        <f t="shared" si="64"/>
        <v>OK!</v>
      </c>
    </row>
    <row r="570" spans="2:20" ht="16.5" x14ac:dyDescent="0.3">
      <c r="B570" s="129" t="s">
        <v>2730</v>
      </c>
      <c r="C570" s="128">
        <v>14.66</v>
      </c>
      <c r="D570" s="128">
        <v>15.62</v>
      </c>
      <c r="E570" s="128">
        <v>1.56</v>
      </c>
      <c r="F570" s="148" t="s">
        <v>2916</v>
      </c>
      <c r="G570" s="128">
        <f t="shared" si="65"/>
        <v>14.66</v>
      </c>
      <c r="H570" s="128"/>
      <c r="I570" s="128" t="str">
        <f t="shared" si="66"/>
        <v/>
      </c>
      <c r="J570" s="128"/>
      <c r="K570" s="128" t="str">
        <f t="shared" si="67"/>
        <v/>
      </c>
      <c r="L570" s="128"/>
      <c r="M570" s="128" t="str">
        <f t="shared" si="68"/>
        <v/>
      </c>
      <c r="N570" s="148"/>
      <c r="O570" s="128" t="str">
        <f t="shared" si="69"/>
        <v/>
      </c>
      <c r="P570" s="148"/>
      <c r="Q570" s="128" t="str">
        <f t="shared" si="70"/>
        <v/>
      </c>
      <c r="R570" s="148"/>
      <c r="S570" s="128" t="str">
        <f t="shared" si="71"/>
        <v/>
      </c>
      <c r="T570" s="47" t="str">
        <f t="shared" si="64"/>
        <v>OK!</v>
      </c>
    </row>
    <row r="571" spans="2:20" ht="16.5" x14ac:dyDescent="0.3">
      <c r="B571" s="129" t="s">
        <v>2666</v>
      </c>
      <c r="C571" s="128">
        <v>4.0999999999999996</v>
      </c>
      <c r="D571" s="128">
        <v>8.6999999999999993</v>
      </c>
      <c r="E571" s="128"/>
      <c r="F571" s="148" t="s">
        <v>2916</v>
      </c>
      <c r="G571" s="128">
        <f t="shared" si="65"/>
        <v>4.0999999999999996</v>
      </c>
      <c r="H571" s="128"/>
      <c r="I571" s="128" t="str">
        <f t="shared" si="66"/>
        <v/>
      </c>
      <c r="J571" s="128"/>
      <c r="K571" s="128" t="str">
        <f t="shared" si="67"/>
        <v/>
      </c>
      <c r="L571" s="128"/>
      <c r="M571" s="128" t="str">
        <f t="shared" si="68"/>
        <v/>
      </c>
      <c r="N571" s="148"/>
      <c r="O571" s="128" t="str">
        <f t="shared" si="69"/>
        <v/>
      </c>
      <c r="P571" s="148"/>
      <c r="Q571" s="128" t="str">
        <f t="shared" si="70"/>
        <v/>
      </c>
      <c r="R571" s="148"/>
      <c r="S571" s="128" t="str">
        <f t="shared" si="71"/>
        <v/>
      </c>
      <c r="T571" s="47" t="str">
        <f t="shared" si="64"/>
        <v>OK!</v>
      </c>
    </row>
    <row r="572" spans="2:20" ht="16.5" x14ac:dyDescent="0.3">
      <c r="B572" s="129" t="s">
        <v>2591</v>
      </c>
      <c r="C572" s="128">
        <v>3.15</v>
      </c>
      <c r="D572" s="128">
        <v>7.1</v>
      </c>
      <c r="E572" s="128"/>
      <c r="F572" s="148" t="s">
        <v>2916</v>
      </c>
      <c r="G572" s="128">
        <f t="shared" si="65"/>
        <v>3.15</v>
      </c>
      <c r="H572" s="128"/>
      <c r="I572" s="128" t="str">
        <f t="shared" si="66"/>
        <v/>
      </c>
      <c r="J572" s="128"/>
      <c r="K572" s="128" t="str">
        <f t="shared" si="67"/>
        <v/>
      </c>
      <c r="L572" s="128"/>
      <c r="M572" s="128" t="str">
        <f t="shared" si="68"/>
        <v/>
      </c>
      <c r="N572" s="148"/>
      <c r="O572" s="128" t="str">
        <f t="shared" si="69"/>
        <v/>
      </c>
      <c r="P572" s="148"/>
      <c r="Q572" s="128" t="str">
        <f t="shared" si="70"/>
        <v/>
      </c>
      <c r="R572" s="148"/>
      <c r="S572" s="128" t="str">
        <f t="shared" si="71"/>
        <v/>
      </c>
      <c r="T572" s="47" t="str">
        <f t="shared" si="64"/>
        <v>OK!</v>
      </c>
    </row>
    <row r="573" spans="2:20" ht="16.5" x14ac:dyDescent="0.3">
      <c r="B573" s="129" t="s">
        <v>2657</v>
      </c>
      <c r="C573" s="128">
        <v>27.96</v>
      </c>
      <c r="D573" s="128">
        <v>22.01</v>
      </c>
      <c r="E573" s="128"/>
      <c r="F573" s="148" t="s">
        <v>2916</v>
      </c>
      <c r="G573" s="128">
        <f t="shared" si="65"/>
        <v>27.96</v>
      </c>
      <c r="H573" s="128"/>
      <c r="I573" s="128" t="str">
        <f t="shared" si="66"/>
        <v/>
      </c>
      <c r="J573" s="128"/>
      <c r="K573" s="128" t="str">
        <f t="shared" si="67"/>
        <v/>
      </c>
      <c r="L573" s="128"/>
      <c r="M573" s="128" t="str">
        <f t="shared" si="68"/>
        <v/>
      </c>
      <c r="N573" s="148"/>
      <c r="O573" s="128" t="str">
        <f t="shared" si="69"/>
        <v/>
      </c>
      <c r="P573" s="148"/>
      <c r="Q573" s="128" t="str">
        <f t="shared" si="70"/>
        <v/>
      </c>
      <c r="R573" s="148"/>
      <c r="S573" s="128" t="str">
        <f t="shared" si="71"/>
        <v/>
      </c>
      <c r="T573" s="47" t="str">
        <f t="shared" si="64"/>
        <v>OK!</v>
      </c>
    </row>
    <row r="574" spans="2:20" ht="16.5" x14ac:dyDescent="0.3">
      <c r="B574" s="129" t="s">
        <v>2658</v>
      </c>
      <c r="C574" s="128">
        <v>5.12</v>
      </c>
      <c r="D574" s="128">
        <v>9.9499999999999993</v>
      </c>
      <c r="E574" s="128"/>
      <c r="F574" s="148" t="s">
        <v>2916</v>
      </c>
      <c r="G574" s="128">
        <f t="shared" si="65"/>
        <v>5.12</v>
      </c>
      <c r="H574" s="128"/>
      <c r="I574" s="128" t="str">
        <f t="shared" si="66"/>
        <v/>
      </c>
      <c r="J574" s="128"/>
      <c r="K574" s="128" t="str">
        <f t="shared" si="67"/>
        <v/>
      </c>
      <c r="L574" s="128"/>
      <c r="M574" s="128" t="str">
        <f t="shared" si="68"/>
        <v/>
      </c>
      <c r="N574" s="148"/>
      <c r="O574" s="128" t="str">
        <f t="shared" si="69"/>
        <v/>
      </c>
      <c r="P574" s="148"/>
      <c r="Q574" s="128" t="str">
        <f t="shared" si="70"/>
        <v/>
      </c>
      <c r="R574" s="148"/>
      <c r="S574" s="128" t="str">
        <f t="shared" si="71"/>
        <v/>
      </c>
      <c r="T574" s="47" t="str">
        <f t="shared" si="64"/>
        <v>OK!</v>
      </c>
    </row>
    <row r="575" spans="2:20" ht="16.5" x14ac:dyDescent="0.3">
      <c r="B575" s="129" t="s">
        <v>2594</v>
      </c>
      <c r="C575" s="128">
        <v>29.91</v>
      </c>
      <c r="D575" s="128">
        <v>31.33</v>
      </c>
      <c r="E575" s="128"/>
      <c r="F575" s="148" t="s">
        <v>2916</v>
      </c>
      <c r="G575" s="128">
        <f t="shared" si="65"/>
        <v>29.91</v>
      </c>
      <c r="H575" s="128"/>
      <c r="I575" s="128" t="str">
        <f t="shared" si="66"/>
        <v/>
      </c>
      <c r="J575" s="128"/>
      <c r="K575" s="128" t="str">
        <f t="shared" si="67"/>
        <v/>
      </c>
      <c r="L575" s="128"/>
      <c r="M575" s="128" t="str">
        <f t="shared" si="68"/>
        <v/>
      </c>
      <c r="N575" s="148"/>
      <c r="O575" s="128" t="str">
        <f t="shared" si="69"/>
        <v/>
      </c>
      <c r="P575" s="148"/>
      <c r="Q575" s="128" t="str">
        <f t="shared" si="70"/>
        <v/>
      </c>
      <c r="R575" s="148"/>
      <c r="S575" s="128" t="str">
        <f t="shared" si="71"/>
        <v/>
      </c>
      <c r="T575" s="47" t="str">
        <f t="shared" si="64"/>
        <v>OK!</v>
      </c>
    </row>
    <row r="576" spans="2:20" ht="16.5" x14ac:dyDescent="0.3">
      <c r="B576" s="129" t="s">
        <v>2824</v>
      </c>
      <c r="C576" s="128">
        <v>12.66</v>
      </c>
      <c r="D576" s="128">
        <v>14.32</v>
      </c>
      <c r="E576" s="128">
        <v>3.1</v>
      </c>
      <c r="F576" s="148" t="s">
        <v>2916</v>
      </c>
      <c r="G576" s="128">
        <f t="shared" si="65"/>
        <v>12.66</v>
      </c>
      <c r="H576" s="128"/>
      <c r="I576" s="128" t="str">
        <f t="shared" si="66"/>
        <v/>
      </c>
      <c r="J576" s="128"/>
      <c r="K576" s="128" t="str">
        <f t="shared" si="67"/>
        <v/>
      </c>
      <c r="L576" s="128"/>
      <c r="M576" s="128" t="str">
        <f t="shared" si="68"/>
        <v/>
      </c>
      <c r="N576" s="148"/>
      <c r="O576" s="128" t="str">
        <f t="shared" si="69"/>
        <v/>
      </c>
      <c r="P576" s="148"/>
      <c r="Q576" s="128" t="str">
        <f t="shared" si="70"/>
        <v/>
      </c>
      <c r="R576" s="148"/>
      <c r="S576" s="128" t="str">
        <f t="shared" si="71"/>
        <v/>
      </c>
      <c r="T576" s="47" t="str">
        <f t="shared" si="64"/>
        <v>OK!</v>
      </c>
    </row>
    <row r="577" spans="2:20" ht="16.5" x14ac:dyDescent="0.3">
      <c r="B577" s="136" t="s">
        <v>2839</v>
      </c>
      <c r="C577" s="128"/>
      <c r="D577" s="128"/>
      <c r="E577" s="128"/>
      <c r="F577" s="148"/>
      <c r="G577" s="128"/>
      <c r="H577" s="128"/>
      <c r="I577" s="128" t="str">
        <f t="shared" si="66"/>
        <v/>
      </c>
      <c r="J577" s="128"/>
      <c r="K577" s="128" t="str">
        <f t="shared" si="67"/>
        <v/>
      </c>
      <c r="L577" s="128"/>
      <c r="M577" s="128" t="str">
        <f t="shared" si="68"/>
        <v/>
      </c>
      <c r="N577" s="148"/>
      <c r="O577" s="128" t="str">
        <f t="shared" si="69"/>
        <v/>
      </c>
      <c r="P577" s="148"/>
      <c r="Q577" s="128" t="str">
        <f t="shared" si="70"/>
        <v/>
      </c>
      <c r="R577" s="148"/>
      <c r="S577" s="128" t="str">
        <f t="shared" si="71"/>
        <v/>
      </c>
      <c r="T577" s="47" t="str">
        <f t="shared" si="64"/>
        <v>OK!</v>
      </c>
    </row>
    <row r="578" spans="2:20" ht="16.5" x14ac:dyDescent="0.3">
      <c r="B578" s="129" t="s">
        <v>2642</v>
      </c>
      <c r="C578" s="128">
        <v>25.32</v>
      </c>
      <c r="D578" s="128">
        <v>21.07</v>
      </c>
      <c r="E578" s="128"/>
      <c r="F578" s="148" t="s">
        <v>2916</v>
      </c>
      <c r="G578" s="128">
        <f t="shared" si="65"/>
        <v>25.32</v>
      </c>
      <c r="H578" s="128"/>
      <c r="I578" s="128" t="str">
        <f t="shared" si="66"/>
        <v/>
      </c>
      <c r="J578" s="128"/>
      <c r="K578" s="128" t="str">
        <f t="shared" si="67"/>
        <v/>
      </c>
      <c r="L578" s="128"/>
      <c r="M578" s="128" t="str">
        <f t="shared" si="68"/>
        <v/>
      </c>
      <c r="N578" s="148"/>
      <c r="O578" s="128" t="str">
        <f t="shared" si="69"/>
        <v/>
      </c>
      <c r="P578" s="148"/>
      <c r="Q578" s="128" t="str">
        <f t="shared" si="70"/>
        <v/>
      </c>
      <c r="R578" s="148"/>
      <c r="S578" s="128" t="str">
        <f t="shared" si="71"/>
        <v/>
      </c>
      <c r="T578" s="47" t="str">
        <f t="shared" si="64"/>
        <v>OK!</v>
      </c>
    </row>
    <row r="579" spans="2:20" ht="16.5" x14ac:dyDescent="0.3">
      <c r="B579" s="129" t="s">
        <v>2643</v>
      </c>
      <c r="C579" s="128">
        <v>5.17</v>
      </c>
      <c r="D579" s="128">
        <v>9.99</v>
      </c>
      <c r="E579" s="128"/>
      <c r="F579" s="148" t="s">
        <v>2916</v>
      </c>
      <c r="G579" s="128">
        <f t="shared" si="65"/>
        <v>5.17</v>
      </c>
      <c r="H579" s="128"/>
      <c r="I579" s="128" t="str">
        <f t="shared" si="66"/>
        <v/>
      </c>
      <c r="J579" s="128"/>
      <c r="K579" s="128" t="str">
        <f t="shared" si="67"/>
        <v/>
      </c>
      <c r="L579" s="128"/>
      <c r="M579" s="128" t="str">
        <f t="shared" si="68"/>
        <v/>
      </c>
      <c r="N579" s="148"/>
      <c r="O579" s="128" t="str">
        <f t="shared" si="69"/>
        <v/>
      </c>
      <c r="P579" s="148"/>
      <c r="Q579" s="128" t="str">
        <f t="shared" si="70"/>
        <v/>
      </c>
      <c r="R579" s="148"/>
      <c r="S579" s="128" t="str">
        <f t="shared" si="71"/>
        <v/>
      </c>
      <c r="T579" s="47" t="str">
        <f t="shared" si="64"/>
        <v>OK!</v>
      </c>
    </row>
    <row r="580" spans="2:20" ht="16.5" x14ac:dyDescent="0.3">
      <c r="B580" s="129" t="s">
        <v>2725</v>
      </c>
      <c r="C580" s="128">
        <v>12.83</v>
      </c>
      <c r="D580" s="128">
        <v>17.39</v>
      </c>
      <c r="E580" s="128"/>
      <c r="F580" s="148" t="s">
        <v>2916</v>
      </c>
      <c r="G580" s="128">
        <f t="shared" si="65"/>
        <v>12.83</v>
      </c>
      <c r="H580" s="128"/>
      <c r="I580" s="128" t="str">
        <f t="shared" si="66"/>
        <v/>
      </c>
      <c r="J580" s="128"/>
      <c r="K580" s="128" t="str">
        <f t="shared" si="67"/>
        <v/>
      </c>
      <c r="L580" s="128"/>
      <c r="M580" s="128" t="str">
        <f t="shared" si="68"/>
        <v/>
      </c>
      <c r="N580" s="148"/>
      <c r="O580" s="128" t="str">
        <f t="shared" si="69"/>
        <v/>
      </c>
      <c r="P580" s="148"/>
      <c r="Q580" s="128" t="str">
        <f t="shared" si="70"/>
        <v/>
      </c>
      <c r="R580" s="148"/>
      <c r="S580" s="128" t="str">
        <f t="shared" si="71"/>
        <v/>
      </c>
      <c r="T580" s="47" t="str">
        <f t="shared" si="64"/>
        <v>OK!</v>
      </c>
    </row>
    <row r="581" spans="2:20" ht="16.5" x14ac:dyDescent="0.3">
      <c r="B581" s="129" t="s">
        <v>2660</v>
      </c>
      <c r="C581" s="128">
        <v>2.5099999999999998</v>
      </c>
      <c r="D581" s="128">
        <v>6.35</v>
      </c>
      <c r="E581" s="128"/>
      <c r="F581" s="148" t="s">
        <v>2916</v>
      </c>
      <c r="G581" s="128">
        <f t="shared" si="65"/>
        <v>2.5099999999999998</v>
      </c>
      <c r="H581" s="128"/>
      <c r="I581" s="128" t="str">
        <f t="shared" si="66"/>
        <v/>
      </c>
      <c r="J581" s="128"/>
      <c r="K581" s="128" t="str">
        <f t="shared" si="67"/>
        <v/>
      </c>
      <c r="L581" s="128"/>
      <c r="M581" s="128" t="str">
        <f t="shared" si="68"/>
        <v/>
      </c>
      <c r="N581" s="148"/>
      <c r="O581" s="128" t="str">
        <f t="shared" si="69"/>
        <v/>
      </c>
      <c r="P581" s="148"/>
      <c r="Q581" s="128" t="str">
        <f t="shared" si="70"/>
        <v/>
      </c>
      <c r="R581" s="148"/>
      <c r="S581" s="128" t="str">
        <f t="shared" si="71"/>
        <v/>
      </c>
      <c r="T581" s="47" t="str">
        <f t="shared" ref="T581:T600" si="72">IF(COUNT(F581:S581)&gt;1,"Corrigir!","OK!")</f>
        <v>OK!</v>
      </c>
    </row>
    <row r="582" spans="2:20" ht="16.5" x14ac:dyDescent="0.3">
      <c r="B582" s="129" t="s">
        <v>2661</v>
      </c>
      <c r="C582" s="128">
        <v>2.11</v>
      </c>
      <c r="D582" s="128">
        <v>6.35</v>
      </c>
      <c r="E582" s="128"/>
      <c r="F582" s="148" t="s">
        <v>2916</v>
      </c>
      <c r="G582" s="128">
        <f t="shared" ref="G582:G599" si="73">IF(F582="x",$C582,"")</f>
        <v>2.11</v>
      </c>
      <c r="H582" s="128"/>
      <c r="I582" s="128" t="str">
        <f t="shared" ref="I582:I599" si="74">IF(H582="x",$C582,"")</f>
        <v/>
      </c>
      <c r="J582" s="128"/>
      <c r="K582" s="128" t="str">
        <f t="shared" ref="K582:K599" si="75">IF(J582="x",$C582,"")</f>
        <v/>
      </c>
      <c r="L582" s="128"/>
      <c r="M582" s="128" t="str">
        <f t="shared" ref="M582:M599" si="76">IF(L582="x",$C582,"")</f>
        <v/>
      </c>
      <c r="N582" s="148"/>
      <c r="O582" s="128" t="str">
        <f t="shared" ref="O582:O599" si="77">IF(N582="x",$C582,"")</f>
        <v/>
      </c>
      <c r="P582" s="148"/>
      <c r="Q582" s="128" t="str">
        <f t="shared" ref="Q582:Q599" si="78">IF(P582="x",$C582,"")</f>
        <v/>
      </c>
      <c r="R582" s="148"/>
      <c r="S582" s="128" t="str">
        <f t="shared" ref="S582:S599" si="79">IF(R582="x",$C582,"")</f>
        <v/>
      </c>
      <c r="T582" s="47" t="str">
        <f t="shared" si="72"/>
        <v>OK!</v>
      </c>
    </row>
    <row r="583" spans="2:20" ht="16.5" x14ac:dyDescent="0.3">
      <c r="B583" s="129" t="s">
        <v>2750</v>
      </c>
      <c r="C583" s="128">
        <v>6.65</v>
      </c>
      <c r="D583" s="128">
        <v>10.47</v>
      </c>
      <c r="E583" s="128"/>
      <c r="F583" s="148" t="s">
        <v>2916</v>
      </c>
      <c r="G583" s="128">
        <f t="shared" si="73"/>
        <v>6.65</v>
      </c>
      <c r="H583" s="128"/>
      <c r="I583" s="128" t="str">
        <f t="shared" si="74"/>
        <v/>
      </c>
      <c r="J583" s="128"/>
      <c r="K583" s="128" t="str">
        <f t="shared" si="75"/>
        <v/>
      </c>
      <c r="L583" s="128"/>
      <c r="M583" s="128" t="str">
        <f t="shared" si="76"/>
        <v/>
      </c>
      <c r="N583" s="148"/>
      <c r="O583" s="128" t="str">
        <f t="shared" si="77"/>
        <v/>
      </c>
      <c r="P583" s="148"/>
      <c r="Q583" s="128" t="str">
        <f t="shared" si="78"/>
        <v/>
      </c>
      <c r="R583" s="148"/>
      <c r="S583" s="128" t="str">
        <f t="shared" si="79"/>
        <v/>
      </c>
      <c r="T583" s="47" t="str">
        <f t="shared" si="72"/>
        <v>OK!</v>
      </c>
    </row>
    <row r="584" spans="2:20" ht="16.5" x14ac:dyDescent="0.3">
      <c r="B584" s="129" t="s">
        <v>2749</v>
      </c>
      <c r="C584" s="128">
        <v>6.71</v>
      </c>
      <c r="D584" s="128">
        <v>10.47</v>
      </c>
      <c r="E584" s="128"/>
      <c r="F584" s="148" t="s">
        <v>2916</v>
      </c>
      <c r="G584" s="128">
        <f t="shared" si="73"/>
        <v>6.71</v>
      </c>
      <c r="H584" s="128"/>
      <c r="I584" s="128" t="str">
        <f t="shared" si="74"/>
        <v/>
      </c>
      <c r="J584" s="128"/>
      <c r="K584" s="128" t="str">
        <f t="shared" si="75"/>
        <v/>
      </c>
      <c r="L584" s="128"/>
      <c r="M584" s="128" t="str">
        <f t="shared" si="76"/>
        <v/>
      </c>
      <c r="N584" s="148"/>
      <c r="O584" s="128" t="str">
        <f t="shared" si="77"/>
        <v/>
      </c>
      <c r="P584" s="148"/>
      <c r="Q584" s="128" t="str">
        <f t="shared" si="78"/>
        <v/>
      </c>
      <c r="R584" s="148"/>
      <c r="S584" s="128" t="str">
        <f t="shared" si="79"/>
        <v/>
      </c>
      <c r="T584" s="47" t="str">
        <f t="shared" si="72"/>
        <v>OK!</v>
      </c>
    </row>
    <row r="585" spans="2:20" ht="16.5" x14ac:dyDescent="0.3">
      <c r="B585" s="129" t="s">
        <v>2591</v>
      </c>
      <c r="C585" s="128">
        <v>3.13</v>
      </c>
      <c r="D585" s="128">
        <v>7.08</v>
      </c>
      <c r="E585" s="128"/>
      <c r="F585" s="148" t="s">
        <v>2916</v>
      </c>
      <c r="G585" s="128">
        <f t="shared" si="73"/>
        <v>3.13</v>
      </c>
      <c r="H585" s="128"/>
      <c r="I585" s="128" t="str">
        <f t="shared" si="74"/>
        <v/>
      </c>
      <c r="J585" s="128"/>
      <c r="K585" s="128" t="str">
        <f t="shared" si="75"/>
        <v/>
      </c>
      <c r="L585" s="128"/>
      <c r="M585" s="128" t="str">
        <f t="shared" si="76"/>
        <v/>
      </c>
      <c r="N585" s="148"/>
      <c r="O585" s="128" t="str">
        <f t="shared" si="77"/>
        <v/>
      </c>
      <c r="P585" s="148"/>
      <c r="Q585" s="128" t="str">
        <f t="shared" si="78"/>
        <v/>
      </c>
      <c r="R585" s="148"/>
      <c r="S585" s="128" t="str">
        <f t="shared" si="79"/>
        <v/>
      </c>
      <c r="T585" s="47" t="str">
        <f t="shared" si="72"/>
        <v>OK!</v>
      </c>
    </row>
    <row r="586" spans="2:20" ht="16.5" x14ac:dyDescent="0.3">
      <c r="B586" s="129" t="s">
        <v>2666</v>
      </c>
      <c r="C586" s="128">
        <v>4.49</v>
      </c>
      <c r="D586" s="128">
        <v>8.73</v>
      </c>
      <c r="E586" s="128"/>
      <c r="F586" s="148" t="s">
        <v>2916</v>
      </c>
      <c r="G586" s="128">
        <f t="shared" si="73"/>
        <v>4.49</v>
      </c>
      <c r="H586" s="128"/>
      <c r="I586" s="128" t="str">
        <f t="shared" si="74"/>
        <v/>
      </c>
      <c r="J586" s="128"/>
      <c r="K586" s="128" t="str">
        <f t="shared" si="75"/>
        <v/>
      </c>
      <c r="L586" s="128"/>
      <c r="M586" s="128" t="str">
        <f t="shared" si="76"/>
        <v/>
      </c>
      <c r="N586" s="148"/>
      <c r="O586" s="128" t="str">
        <f t="shared" si="77"/>
        <v/>
      </c>
      <c r="P586" s="148"/>
      <c r="Q586" s="128" t="str">
        <f t="shared" si="78"/>
        <v/>
      </c>
      <c r="R586" s="148"/>
      <c r="S586" s="128" t="str">
        <f t="shared" si="79"/>
        <v/>
      </c>
      <c r="T586" s="47" t="str">
        <f t="shared" si="72"/>
        <v>OK!</v>
      </c>
    </row>
    <row r="587" spans="2:20" ht="16.5" x14ac:dyDescent="0.3">
      <c r="B587" s="129" t="s">
        <v>2730</v>
      </c>
      <c r="C587" s="128">
        <v>13.54</v>
      </c>
      <c r="D587" s="128">
        <v>15.12</v>
      </c>
      <c r="E587" s="128">
        <v>1.5</v>
      </c>
      <c r="F587" s="148" t="s">
        <v>2916</v>
      </c>
      <c r="G587" s="128">
        <f t="shared" si="73"/>
        <v>13.54</v>
      </c>
      <c r="H587" s="128"/>
      <c r="I587" s="128" t="str">
        <f t="shared" si="74"/>
        <v/>
      </c>
      <c r="J587" s="128"/>
      <c r="K587" s="128" t="str">
        <f t="shared" si="75"/>
        <v/>
      </c>
      <c r="L587" s="128"/>
      <c r="M587" s="128" t="str">
        <f t="shared" si="76"/>
        <v/>
      </c>
      <c r="N587" s="148"/>
      <c r="O587" s="128" t="str">
        <f t="shared" si="77"/>
        <v/>
      </c>
      <c r="P587" s="148"/>
      <c r="Q587" s="128" t="str">
        <f t="shared" si="78"/>
        <v/>
      </c>
      <c r="R587" s="148"/>
      <c r="S587" s="128" t="str">
        <f t="shared" si="79"/>
        <v/>
      </c>
      <c r="T587" s="47" t="str">
        <f t="shared" si="72"/>
        <v>OK!</v>
      </c>
    </row>
    <row r="588" spans="2:20" ht="16.5" x14ac:dyDescent="0.3">
      <c r="B588" s="129" t="s">
        <v>2669</v>
      </c>
      <c r="C588" s="128">
        <v>6.85</v>
      </c>
      <c r="D588" s="128">
        <v>11.95</v>
      </c>
      <c r="E588" s="128"/>
      <c r="F588" s="148" t="s">
        <v>2916</v>
      </c>
      <c r="G588" s="128">
        <f t="shared" si="73"/>
        <v>6.85</v>
      </c>
      <c r="H588" s="128"/>
      <c r="I588" s="128" t="str">
        <f t="shared" si="74"/>
        <v/>
      </c>
      <c r="J588" s="128"/>
      <c r="K588" s="128" t="str">
        <f t="shared" si="75"/>
        <v/>
      </c>
      <c r="L588" s="128"/>
      <c r="M588" s="128" t="str">
        <f t="shared" si="76"/>
        <v/>
      </c>
      <c r="N588" s="148"/>
      <c r="O588" s="128" t="str">
        <f t="shared" si="77"/>
        <v/>
      </c>
      <c r="P588" s="148"/>
      <c r="Q588" s="128" t="str">
        <f t="shared" si="78"/>
        <v/>
      </c>
      <c r="R588" s="148"/>
      <c r="S588" s="128" t="str">
        <f t="shared" si="79"/>
        <v/>
      </c>
      <c r="T588" s="47" t="str">
        <f t="shared" si="72"/>
        <v>OK!</v>
      </c>
    </row>
    <row r="589" spans="2:20" ht="16.5" x14ac:dyDescent="0.3">
      <c r="B589" s="129" t="s">
        <v>2670</v>
      </c>
      <c r="C589" s="128">
        <v>19.02</v>
      </c>
      <c r="D589" s="128">
        <v>20.95</v>
      </c>
      <c r="E589" s="128"/>
      <c r="F589" s="148" t="s">
        <v>2916</v>
      </c>
      <c r="G589" s="128">
        <f t="shared" si="73"/>
        <v>19.02</v>
      </c>
      <c r="H589" s="128"/>
      <c r="I589" s="128" t="str">
        <f t="shared" si="74"/>
        <v/>
      </c>
      <c r="J589" s="128"/>
      <c r="K589" s="128" t="str">
        <f t="shared" si="75"/>
        <v/>
      </c>
      <c r="L589" s="128"/>
      <c r="M589" s="128" t="str">
        <f t="shared" si="76"/>
        <v/>
      </c>
      <c r="N589" s="148"/>
      <c r="O589" s="128" t="str">
        <f t="shared" si="77"/>
        <v/>
      </c>
      <c r="P589" s="148"/>
      <c r="Q589" s="128" t="str">
        <f t="shared" si="78"/>
        <v/>
      </c>
      <c r="R589" s="148"/>
      <c r="S589" s="128" t="str">
        <f t="shared" si="79"/>
        <v/>
      </c>
      <c r="T589" s="47" t="str">
        <f t="shared" si="72"/>
        <v>OK!</v>
      </c>
    </row>
    <row r="590" spans="2:20" ht="16.5" x14ac:dyDescent="0.3">
      <c r="B590" s="129" t="s">
        <v>2594</v>
      </c>
      <c r="C590" s="128">
        <v>61.84</v>
      </c>
      <c r="D590" s="128">
        <v>60.36</v>
      </c>
      <c r="E590" s="128"/>
      <c r="F590" s="148" t="s">
        <v>2916</v>
      </c>
      <c r="G590" s="128">
        <f t="shared" si="73"/>
        <v>61.84</v>
      </c>
      <c r="H590" s="128"/>
      <c r="I590" s="128" t="str">
        <f t="shared" si="74"/>
        <v/>
      </c>
      <c r="J590" s="128"/>
      <c r="K590" s="128" t="str">
        <f t="shared" si="75"/>
        <v/>
      </c>
      <c r="L590" s="128"/>
      <c r="M590" s="128" t="str">
        <f t="shared" si="76"/>
        <v/>
      </c>
      <c r="N590" s="148"/>
      <c r="O590" s="128" t="str">
        <f t="shared" si="77"/>
        <v/>
      </c>
      <c r="P590" s="148"/>
      <c r="Q590" s="128" t="str">
        <f t="shared" si="78"/>
        <v/>
      </c>
      <c r="R590" s="148"/>
      <c r="S590" s="128" t="str">
        <f t="shared" si="79"/>
        <v/>
      </c>
      <c r="T590" s="47" t="str">
        <f t="shared" si="72"/>
        <v>OK!</v>
      </c>
    </row>
    <row r="591" spans="2:20" ht="16.5" x14ac:dyDescent="0.3">
      <c r="B591" s="129" t="s">
        <v>2644</v>
      </c>
      <c r="C591" s="128">
        <v>28.36</v>
      </c>
      <c r="D591" s="128">
        <v>22.06</v>
      </c>
      <c r="E591" s="128"/>
      <c r="F591" s="148" t="s">
        <v>2916</v>
      </c>
      <c r="G591" s="128">
        <f t="shared" si="73"/>
        <v>28.36</v>
      </c>
      <c r="H591" s="128"/>
      <c r="I591" s="128" t="str">
        <f t="shared" si="74"/>
        <v/>
      </c>
      <c r="J591" s="128"/>
      <c r="K591" s="128" t="str">
        <f t="shared" si="75"/>
        <v/>
      </c>
      <c r="L591" s="128"/>
      <c r="M591" s="128" t="str">
        <f t="shared" si="76"/>
        <v/>
      </c>
      <c r="N591" s="148"/>
      <c r="O591" s="128" t="str">
        <f t="shared" si="77"/>
        <v/>
      </c>
      <c r="P591" s="148"/>
      <c r="Q591" s="128" t="str">
        <f t="shared" si="78"/>
        <v/>
      </c>
      <c r="R591" s="148"/>
      <c r="S591" s="128" t="str">
        <f t="shared" si="79"/>
        <v/>
      </c>
      <c r="T591" s="47" t="str">
        <f t="shared" si="72"/>
        <v>OK!</v>
      </c>
    </row>
    <row r="592" spans="2:20" ht="16.5" x14ac:dyDescent="0.3">
      <c r="B592" s="129" t="s">
        <v>2645</v>
      </c>
      <c r="C592" s="128">
        <v>5.18</v>
      </c>
      <c r="D592" s="128">
        <v>9.99</v>
      </c>
      <c r="E592" s="128"/>
      <c r="F592" s="148" t="s">
        <v>2916</v>
      </c>
      <c r="G592" s="128">
        <f t="shared" si="73"/>
        <v>5.18</v>
      </c>
      <c r="H592" s="128"/>
      <c r="I592" s="128" t="str">
        <f t="shared" si="74"/>
        <v/>
      </c>
      <c r="J592" s="128"/>
      <c r="K592" s="128" t="str">
        <f t="shared" si="75"/>
        <v/>
      </c>
      <c r="L592" s="128"/>
      <c r="M592" s="128" t="str">
        <f t="shared" si="76"/>
        <v/>
      </c>
      <c r="N592" s="148"/>
      <c r="O592" s="128" t="str">
        <f t="shared" si="77"/>
        <v/>
      </c>
      <c r="P592" s="148"/>
      <c r="Q592" s="128" t="str">
        <f t="shared" si="78"/>
        <v/>
      </c>
      <c r="R592" s="148"/>
      <c r="S592" s="128" t="str">
        <f t="shared" si="79"/>
        <v/>
      </c>
      <c r="T592" s="47" t="str">
        <f t="shared" si="72"/>
        <v>OK!</v>
      </c>
    </row>
    <row r="593" spans="2:23" ht="16.5" x14ac:dyDescent="0.3">
      <c r="B593" s="129" t="s">
        <v>2646</v>
      </c>
      <c r="C593" s="128">
        <v>28.45</v>
      </c>
      <c r="D593" s="128">
        <v>22.12</v>
      </c>
      <c r="E593" s="128"/>
      <c r="F593" s="148" t="s">
        <v>2916</v>
      </c>
      <c r="G593" s="128">
        <f t="shared" si="73"/>
        <v>28.45</v>
      </c>
      <c r="H593" s="128"/>
      <c r="I593" s="128" t="str">
        <f t="shared" si="74"/>
        <v/>
      </c>
      <c r="J593" s="128"/>
      <c r="K593" s="128" t="str">
        <f t="shared" si="75"/>
        <v/>
      </c>
      <c r="L593" s="128"/>
      <c r="M593" s="128" t="str">
        <f t="shared" si="76"/>
        <v/>
      </c>
      <c r="N593" s="148"/>
      <c r="O593" s="128" t="str">
        <f t="shared" si="77"/>
        <v/>
      </c>
      <c r="P593" s="148"/>
      <c r="Q593" s="128" t="str">
        <f t="shared" si="78"/>
        <v/>
      </c>
      <c r="R593" s="148"/>
      <c r="S593" s="128" t="str">
        <f t="shared" si="79"/>
        <v/>
      </c>
      <c r="T593" s="47" t="str">
        <f t="shared" si="72"/>
        <v>OK!</v>
      </c>
    </row>
    <row r="594" spans="2:23" ht="16.5" x14ac:dyDescent="0.3">
      <c r="B594" s="129" t="s">
        <v>2647</v>
      </c>
      <c r="C594" s="128">
        <v>5.18</v>
      </c>
      <c r="D594" s="128">
        <v>9.99</v>
      </c>
      <c r="E594" s="128"/>
      <c r="F594" s="148" t="s">
        <v>2916</v>
      </c>
      <c r="G594" s="128">
        <f t="shared" si="73"/>
        <v>5.18</v>
      </c>
      <c r="H594" s="128"/>
      <c r="I594" s="128" t="str">
        <f t="shared" si="74"/>
        <v/>
      </c>
      <c r="J594" s="128"/>
      <c r="K594" s="128" t="str">
        <f t="shared" si="75"/>
        <v/>
      </c>
      <c r="L594" s="128"/>
      <c r="M594" s="128" t="str">
        <f t="shared" si="76"/>
        <v/>
      </c>
      <c r="N594" s="148"/>
      <c r="O594" s="128" t="str">
        <f t="shared" si="77"/>
        <v/>
      </c>
      <c r="P594" s="148"/>
      <c r="Q594" s="128" t="str">
        <f t="shared" si="78"/>
        <v/>
      </c>
      <c r="R594" s="148"/>
      <c r="S594" s="128" t="str">
        <f t="shared" si="79"/>
        <v/>
      </c>
      <c r="T594" s="47" t="str">
        <f t="shared" si="72"/>
        <v>OK!</v>
      </c>
    </row>
    <row r="595" spans="2:23" ht="16.5" x14ac:dyDescent="0.3">
      <c r="B595" s="129" t="s">
        <v>2677</v>
      </c>
      <c r="C595" s="128">
        <v>24.23</v>
      </c>
      <c r="D595" s="128">
        <v>20.55</v>
      </c>
      <c r="E595" s="128"/>
      <c r="F595" s="148" t="s">
        <v>2916</v>
      </c>
      <c r="G595" s="128">
        <f t="shared" si="73"/>
        <v>24.23</v>
      </c>
      <c r="H595" s="128"/>
      <c r="I595" s="128" t="str">
        <f t="shared" si="74"/>
        <v/>
      </c>
      <c r="J595" s="128"/>
      <c r="K595" s="128" t="str">
        <f t="shared" si="75"/>
        <v/>
      </c>
      <c r="L595" s="128"/>
      <c r="M595" s="128" t="str">
        <f t="shared" si="76"/>
        <v/>
      </c>
      <c r="N595" s="148"/>
      <c r="O595" s="128" t="str">
        <f t="shared" si="77"/>
        <v/>
      </c>
      <c r="P595" s="148"/>
      <c r="Q595" s="128" t="str">
        <f t="shared" si="78"/>
        <v/>
      </c>
      <c r="R595" s="148"/>
      <c r="S595" s="128" t="str">
        <f t="shared" si="79"/>
        <v/>
      </c>
      <c r="T595" s="47" t="str">
        <f t="shared" si="72"/>
        <v>OK!</v>
      </c>
    </row>
    <row r="596" spans="2:23" ht="16.5" x14ac:dyDescent="0.3">
      <c r="B596" s="129" t="s">
        <v>2678</v>
      </c>
      <c r="C596" s="128">
        <v>5.71</v>
      </c>
      <c r="D596" s="128">
        <v>10.6</v>
      </c>
      <c r="E596" s="128"/>
      <c r="F596" s="148" t="s">
        <v>2916</v>
      </c>
      <c r="G596" s="128">
        <f t="shared" si="73"/>
        <v>5.71</v>
      </c>
      <c r="H596" s="128"/>
      <c r="I596" s="128" t="str">
        <f t="shared" si="74"/>
        <v/>
      </c>
      <c r="J596" s="128"/>
      <c r="K596" s="128" t="str">
        <f t="shared" si="75"/>
        <v/>
      </c>
      <c r="L596" s="128"/>
      <c r="M596" s="128" t="str">
        <f t="shared" si="76"/>
        <v/>
      </c>
      <c r="N596" s="148"/>
      <c r="O596" s="128" t="str">
        <f t="shared" si="77"/>
        <v/>
      </c>
      <c r="P596" s="148"/>
      <c r="Q596" s="128" t="str">
        <f t="shared" si="78"/>
        <v/>
      </c>
      <c r="R596" s="148"/>
      <c r="S596" s="128" t="str">
        <f t="shared" si="79"/>
        <v/>
      </c>
      <c r="T596" s="47" t="str">
        <f t="shared" si="72"/>
        <v>OK!</v>
      </c>
    </row>
    <row r="597" spans="2:23" ht="16.5" x14ac:dyDescent="0.3">
      <c r="B597" s="129" t="s">
        <v>2598</v>
      </c>
      <c r="C597" s="128">
        <v>3.28</v>
      </c>
      <c r="D597" s="128">
        <v>7.54</v>
      </c>
      <c r="E597" s="128"/>
      <c r="F597" s="148" t="s">
        <v>2916</v>
      </c>
      <c r="G597" s="128">
        <f t="shared" si="73"/>
        <v>3.28</v>
      </c>
      <c r="H597" s="128"/>
      <c r="I597" s="128" t="str">
        <f t="shared" si="74"/>
        <v/>
      </c>
      <c r="J597" s="128"/>
      <c r="K597" s="128" t="str">
        <f t="shared" si="75"/>
        <v/>
      </c>
      <c r="L597" s="128"/>
      <c r="M597" s="128" t="str">
        <f t="shared" si="76"/>
        <v/>
      </c>
      <c r="N597" s="148"/>
      <c r="O597" s="128" t="str">
        <f t="shared" si="77"/>
        <v/>
      </c>
      <c r="P597" s="148"/>
      <c r="Q597" s="128" t="str">
        <f t="shared" si="78"/>
        <v/>
      </c>
      <c r="R597" s="148"/>
      <c r="S597" s="128" t="str">
        <f t="shared" si="79"/>
        <v/>
      </c>
      <c r="T597" s="47" t="str">
        <f t="shared" si="72"/>
        <v>OK!</v>
      </c>
    </row>
    <row r="598" spans="2:23" ht="16.5" x14ac:dyDescent="0.3">
      <c r="B598" s="129" t="s">
        <v>2648</v>
      </c>
      <c r="C598" s="128">
        <v>28.92</v>
      </c>
      <c r="D598" s="128">
        <v>22.31</v>
      </c>
      <c r="E598" s="128"/>
      <c r="F598" s="148" t="s">
        <v>2916</v>
      </c>
      <c r="G598" s="128">
        <f t="shared" si="73"/>
        <v>28.92</v>
      </c>
      <c r="H598" s="128"/>
      <c r="I598" s="128" t="str">
        <f t="shared" si="74"/>
        <v/>
      </c>
      <c r="J598" s="128"/>
      <c r="K598" s="128" t="str">
        <f t="shared" si="75"/>
        <v/>
      </c>
      <c r="L598" s="128"/>
      <c r="M598" s="128" t="str">
        <f t="shared" si="76"/>
        <v/>
      </c>
      <c r="N598" s="148"/>
      <c r="O598" s="128" t="str">
        <f t="shared" si="77"/>
        <v/>
      </c>
      <c r="P598" s="148"/>
      <c r="Q598" s="128" t="str">
        <f t="shared" si="78"/>
        <v/>
      </c>
      <c r="R598" s="148"/>
      <c r="S598" s="128" t="str">
        <f t="shared" si="79"/>
        <v/>
      </c>
      <c r="T598" s="47" t="str">
        <f t="shared" si="72"/>
        <v>OK!</v>
      </c>
    </row>
    <row r="599" spans="2:23" ht="16.5" x14ac:dyDescent="0.3">
      <c r="B599" s="129" t="s">
        <v>2649</v>
      </c>
      <c r="C599" s="128">
        <v>5.18</v>
      </c>
      <c r="D599" s="128">
        <v>9.99</v>
      </c>
      <c r="E599" s="128"/>
      <c r="F599" s="148" t="s">
        <v>2916</v>
      </c>
      <c r="G599" s="128">
        <f t="shared" si="73"/>
        <v>5.18</v>
      </c>
      <c r="H599" s="128"/>
      <c r="I599" s="128" t="str">
        <f t="shared" si="74"/>
        <v/>
      </c>
      <c r="J599" s="128"/>
      <c r="K599" s="128" t="str">
        <f t="shared" si="75"/>
        <v/>
      </c>
      <c r="L599" s="128"/>
      <c r="M599" s="128" t="str">
        <f t="shared" si="76"/>
        <v/>
      </c>
      <c r="N599" s="148"/>
      <c r="O599" s="128" t="str">
        <f t="shared" si="77"/>
        <v/>
      </c>
      <c r="P599" s="148"/>
      <c r="Q599" s="128" t="str">
        <f t="shared" si="78"/>
        <v/>
      </c>
      <c r="R599" s="148"/>
      <c r="S599" s="128" t="str">
        <f t="shared" si="79"/>
        <v/>
      </c>
      <c r="T599" s="47" t="str">
        <f t="shared" si="72"/>
        <v>OK!</v>
      </c>
    </row>
    <row r="600" spans="2:23" ht="16.5" x14ac:dyDescent="0.3">
      <c r="B600" s="573" t="s">
        <v>2918</v>
      </c>
      <c r="C600" s="150"/>
      <c r="D600" s="150"/>
      <c r="E600" s="150"/>
      <c r="F600" s="148"/>
      <c r="G600" s="128"/>
      <c r="H600" s="128"/>
      <c r="I600" s="128"/>
      <c r="J600" s="128"/>
      <c r="K600" s="128" t="str">
        <f>IF(J600="x",C600,"")</f>
        <v/>
      </c>
      <c r="L600" s="128"/>
      <c r="M600" s="128"/>
      <c r="N600" s="128"/>
      <c r="O600" s="128"/>
      <c r="P600" s="128"/>
      <c r="Q600" s="128"/>
      <c r="R600" s="128"/>
      <c r="S600" s="128" t="str">
        <f>IF(R600="x",C600,"")</f>
        <v/>
      </c>
      <c r="T600" s="47" t="str">
        <f t="shared" si="72"/>
        <v>OK!</v>
      </c>
    </row>
    <row r="601" spans="2:23" ht="16.5" x14ac:dyDescent="0.3">
      <c r="B601" s="137" t="s">
        <v>2919</v>
      </c>
      <c r="C601" s="138">
        <f>SUM(C5:C600)</f>
        <v>10194.545000000013</v>
      </c>
      <c r="D601" s="138">
        <f>SUM(D5:D600)</f>
        <v>9790.2900000000027</v>
      </c>
      <c r="E601" s="138"/>
      <c r="F601" s="132"/>
      <c r="G601" s="138">
        <f>SUM(G5:G600)</f>
        <v>8580.9500000000025</v>
      </c>
      <c r="H601" s="138"/>
      <c r="I601" s="138">
        <f>SUM(I5:I600)</f>
        <v>998.8900000000001</v>
      </c>
      <c r="J601" s="137"/>
      <c r="K601" s="138">
        <f>SUM(K5:K600)</f>
        <v>216.74</v>
      </c>
      <c r="L601" s="138"/>
      <c r="M601" s="138">
        <f>SUM(M5:M600)</f>
        <v>21.04</v>
      </c>
      <c r="N601" s="138"/>
      <c r="O601" s="138">
        <f>SUM(O5:O600)</f>
        <v>132.25</v>
      </c>
      <c r="P601" s="138"/>
      <c r="Q601" s="138">
        <f>SUM(Q5:Q600)</f>
        <v>216.41500000000002</v>
      </c>
      <c r="R601" s="137"/>
      <c r="S601" s="138">
        <f>SUM(S5:S600)</f>
        <v>0</v>
      </c>
      <c r="T601" s="47"/>
    </row>
    <row r="602" spans="2:23" ht="16.5" x14ac:dyDescent="0.3">
      <c r="B602" s="139" t="s">
        <v>2920</v>
      </c>
      <c r="C602" s="127"/>
      <c r="D602" s="127"/>
      <c r="E602" s="127"/>
      <c r="F602" s="146"/>
      <c r="G602" s="127"/>
      <c r="H602" s="127"/>
      <c r="I602" s="127"/>
      <c r="J602" s="127"/>
      <c r="K602" s="127"/>
      <c r="L602" s="127"/>
      <c r="M602" s="127"/>
      <c r="N602" s="127"/>
      <c r="O602" s="127"/>
      <c r="P602" s="127"/>
      <c r="Q602" s="127"/>
      <c r="R602" s="127"/>
      <c r="S602" s="127"/>
    </row>
    <row r="603" spans="2:23" ht="16.5" x14ac:dyDescent="0.3">
      <c r="B603" s="162"/>
      <c r="C603" s="127"/>
      <c r="D603" s="127"/>
      <c r="E603" s="127"/>
      <c r="F603" s="146"/>
      <c r="G603" s="127"/>
      <c r="H603" s="127"/>
      <c r="I603" s="127"/>
      <c r="J603" s="127"/>
      <c r="K603" s="127"/>
      <c r="L603" s="127"/>
      <c r="M603" s="127"/>
      <c r="N603" s="127"/>
      <c r="O603" s="127"/>
      <c r="P603" s="127"/>
      <c r="Q603" s="127"/>
      <c r="R603" s="127"/>
      <c r="S603" s="127"/>
    </row>
    <row r="604" spans="2:23" ht="16.5" x14ac:dyDescent="0.3">
      <c r="B604" s="127"/>
      <c r="C604" s="127"/>
      <c r="D604" s="127"/>
      <c r="E604" s="127"/>
      <c r="F604" s="146"/>
      <c r="G604" s="127"/>
      <c r="H604" s="127"/>
      <c r="I604" s="127"/>
      <c r="J604" s="127"/>
      <c r="K604" s="127"/>
      <c r="L604" s="127"/>
      <c r="M604" s="127"/>
      <c r="N604" s="127"/>
      <c r="O604" s="127"/>
      <c r="P604" s="127"/>
      <c r="Q604" s="127"/>
      <c r="R604" s="127"/>
      <c r="S604" s="127"/>
    </row>
    <row r="605" spans="2:23" ht="16.5" x14ac:dyDescent="0.25">
      <c r="B605" s="966" t="s">
        <v>2921</v>
      </c>
      <c r="C605" s="967"/>
      <c r="D605" s="967"/>
      <c r="E605" s="967"/>
      <c r="F605" s="967"/>
      <c r="G605" s="967"/>
      <c r="H605" s="967"/>
      <c r="I605" s="967"/>
      <c r="J605" s="967"/>
      <c r="K605" s="967"/>
      <c r="L605" s="967"/>
      <c r="M605" s="967"/>
      <c r="N605" s="967"/>
      <c r="O605" s="967"/>
      <c r="P605" s="967"/>
      <c r="Q605" s="967"/>
      <c r="R605" s="967"/>
      <c r="S605" s="967"/>
      <c r="U605" s="161" t="s">
        <v>2922</v>
      </c>
      <c r="V605" s="161" t="s">
        <v>2923</v>
      </c>
      <c r="W605" s="161" t="s">
        <v>2924</v>
      </c>
    </row>
    <row r="606" spans="2:23" ht="25.5" customHeight="1" x14ac:dyDescent="0.3">
      <c r="B606" s="656" t="s">
        <v>2570</v>
      </c>
      <c r="C606" s="165" t="s">
        <v>198</v>
      </c>
      <c r="D606" s="165" t="s">
        <v>2571</v>
      </c>
      <c r="E606" s="133"/>
      <c r="F606" s="964" t="s">
        <v>2909</v>
      </c>
      <c r="G606" s="965"/>
      <c r="H606" s="964" t="s">
        <v>2910</v>
      </c>
      <c r="I606" s="965"/>
      <c r="J606" s="964" t="s">
        <v>2911</v>
      </c>
      <c r="K606" s="965"/>
      <c r="L606" s="964" t="s">
        <v>2912</v>
      </c>
      <c r="M606" s="965"/>
      <c r="N606" s="964" t="s">
        <v>2913</v>
      </c>
      <c r="O606" s="965"/>
      <c r="P606" s="964" t="s">
        <v>2914</v>
      </c>
      <c r="Q606" s="965"/>
      <c r="R606" s="964" t="s">
        <v>2915</v>
      </c>
      <c r="S606" s="965"/>
      <c r="U606" s="42">
        <v>6773.46</v>
      </c>
      <c r="V606" s="42">
        <v>2869.44</v>
      </c>
      <c r="W606" s="42">
        <v>1791.86</v>
      </c>
    </row>
    <row r="607" spans="2:23" ht="16.5" x14ac:dyDescent="0.3">
      <c r="B607" s="140" t="s">
        <v>2925</v>
      </c>
      <c r="C607" s="141">
        <f>SUM(C608:C611)</f>
        <v>6187.7949999999973</v>
      </c>
      <c r="D607" s="141">
        <f>SUM(D608:D612)</f>
        <v>7922.8099999999977</v>
      </c>
      <c r="E607" s="141"/>
      <c r="F607" s="147"/>
      <c r="G607" s="141">
        <f>SUM(G608:G611)</f>
        <v>4574.2</v>
      </c>
      <c r="H607" s="141"/>
      <c r="I607" s="141">
        <f>SUM(I608:I611)</f>
        <v>998.8900000000001</v>
      </c>
      <c r="J607" s="129"/>
      <c r="K607" s="141">
        <f>SUM(K608:K611)</f>
        <v>216.74</v>
      </c>
      <c r="L607" s="141"/>
      <c r="M607" s="141">
        <f>SUM(M608:M611)</f>
        <v>21.04</v>
      </c>
      <c r="N607" s="141"/>
      <c r="O607" s="141">
        <f>SUM(O608:O611)</f>
        <v>132.25</v>
      </c>
      <c r="P607" s="141"/>
      <c r="Q607" s="141">
        <f>SUM(Q608:Q611)</f>
        <v>216.41500000000002</v>
      </c>
      <c r="R607" s="129"/>
      <c r="S607" s="141">
        <f>SUM(S608:S611)</f>
        <v>0</v>
      </c>
      <c r="U607" s="42">
        <v>498.74</v>
      </c>
      <c r="V607" s="42">
        <v>484.76</v>
      </c>
      <c r="W607" s="42">
        <v>373.53</v>
      </c>
    </row>
    <row r="608" spans="2:23" ht="16.5" x14ac:dyDescent="0.3">
      <c r="B608" s="151" t="s">
        <v>591</v>
      </c>
      <c r="C608" s="152">
        <f>SUM(C6:C338)</f>
        <v>5749.2649999999976</v>
      </c>
      <c r="D608" s="152">
        <f>SUM(D6:D338)</f>
        <v>5462.6799999999976</v>
      </c>
      <c r="E608" s="152"/>
      <c r="F608" s="147"/>
      <c r="G608" s="152">
        <f>SUM(G6:G338)</f>
        <v>4135.6699999999992</v>
      </c>
      <c r="H608" s="152"/>
      <c r="I608" s="152">
        <f>SUM(I6:I338)</f>
        <v>998.8900000000001</v>
      </c>
      <c r="J608" s="129"/>
      <c r="K608" s="152">
        <f>SUM(K6:K338)</f>
        <v>216.74</v>
      </c>
      <c r="L608" s="152"/>
      <c r="M608" s="152">
        <f>SUM(M6:M338)</f>
        <v>21.04</v>
      </c>
      <c r="N608" s="152"/>
      <c r="O608" s="152">
        <f>SUM(O6:O338)</f>
        <v>132.25</v>
      </c>
      <c r="P608" s="152"/>
      <c r="Q608" s="152">
        <f>SUM(Q6:Q338)</f>
        <v>216.41500000000002</v>
      </c>
      <c r="R608" s="129"/>
      <c r="S608" s="152">
        <f>SUM(S6:S338)</f>
        <v>0</v>
      </c>
      <c r="U608" s="160">
        <f>U606-U607</f>
        <v>6274.72</v>
      </c>
      <c r="V608" s="160">
        <f>V606-V607</f>
        <v>2384.6800000000003</v>
      </c>
      <c r="W608" s="160">
        <f>W606-W607</f>
        <v>1418.33</v>
      </c>
    </row>
    <row r="609" spans="2:19" ht="16.5" x14ac:dyDescent="0.3">
      <c r="B609" s="142" t="s">
        <v>2926</v>
      </c>
      <c r="C609" s="152">
        <f>SUM(C341:C354)</f>
        <v>264.98</v>
      </c>
      <c r="D609" s="152">
        <f>SUM(D23:D29)</f>
        <v>82.91</v>
      </c>
      <c r="E609" s="152"/>
      <c r="F609" s="147"/>
      <c r="G609" s="152">
        <f>SUM(G341:G354)</f>
        <v>264.98</v>
      </c>
      <c r="H609" s="152"/>
      <c r="I609" s="152">
        <f>SUM(I341:I354)</f>
        <v>0</v>
      </c>
      <c r="J609" s="129"/>
      <c r="K609" s="152">
        <f>SUM(K341:K354)</f>
        <v>0</v>
      </c>
      <c r="L609" s="152"/>
      <c r="M609" s="152">
        <f>SUM(M341:M354)</f>
        <v>0</v>
      </c>
      <c r="N609" s="152"/>
      <c r="O609" s="152">
        <f>SUM(O341:O354)</f>
        <v>0</v>
      </c>
      <c r="P609" s="152"/>
      <c r="Q609" s="152">
        <f>SUM(Q341:Q354)</f>
        <v>0</v>
      </c>
      <c r="R609" s="129"/>
      <c r="S609" s="152">
        <f>SUM(S341:S354)</f>
        <v>0</v>
      </c>
    </row>
    <row r="610" spans="2:19" ht="16.5" x14ac:dyDescent="0.3">
      <c r="B610" s="142" t="s">
        <v>2927</v>
      </c>
      <c r="C610" s="152">
        <f>SUM(C356:C357)</f>
        <v>5.84</v>
      </c>
      <c r="D610" s="152">
        <f>SUM(D33:D50)</f>
        <v>276.84999999999997</v>
      </c>
      <c r="E610" s="152"/>
      <c r="F610" s="147"/>
      <c r="G610" s="152">
        <f>SUM(G356:G357)</f>
        <v>5.84</v>
      </c>
      <c r="H610" s="152"/>
      <c r="I610" s="152">
        <f>SUM(I356:I357)</f>
        <v>0</v>
      </c>
      <c r="J610" s="129"/>
      <c r="K610" s="152">
        <f>SUM(K356:K357)</f>
        <v>0</v>
      </c>
      <c r="L610" s="152"/>
      <c r="M610" s="152">
        <f>SUM(M356:M357)</f>
        <v>0</v>
      </c>
      <c r="N610" s="152"/>
      <c r="O610" s="152">
        <f>SUM(O356:O357)</f>
        <v>0</v>
      </c>
      <c r="P610" s="152"/>
      <c r="Q610" s="152">
        <f>SUM(Q356:Q357)</f>
        <v>0</v>
      </c>
      <c r="R610" s="129"/>
      <c r="S610" s="152">
        <f>SUM(S356:S357)</f>
        <v>0</v>
      </c>
    </row>
    <row r="611" spans="2:19" ht="16.5" x14ac:dyDescent="0.3">
      <c r="B611" s="142" t="s">
        <v>2928</v>
      </c>
      <c r="C611" s="152">
        <f>SUM(C359:C373)</f>
        <v>167.71</v>
      </c>
      <c r="D611" s="152">
        <f>SUM(D51:D85)</f>
        <v>638.16</v>
      </c>
      <c r="E611" s="152"/>
      <c r="F611" s="147"/>
      <c r="G611" s="152">
        <f>SUM(G359:G373)</f>
        <v>167.71</v>
      </c>
      <c r="H611" s="152"/>
      <c r="I611" s="152">
        <f>SUM(I359:I373)</f>
        <v>0</v>
      </c>
      <c r="J611" s="129"/>
      <c r="K611" s="152">
        <f>SUM(K359:K373)</f>
        <v>0</v>
      </c>
      <c r="L611" s="152"/>
      <c r="M611" s="152">
        <f>SUM(M359:M373)</f>
        <v>0</v>
      </c>
      <c r="N611" s="152"/>
      <c r="O611" s="152">
        <f>SUM(O359:O373)</f>
        <v>0</v>
      </c>
      <c r="P611" s="152"/>
      <c r="Q611" s="152">
        <f>SUM(Q359:Q373)</f>
        <v>0</v>
      </c>
      <c r="R611" s="129"/>
      <c r="S611" s="152">
        <f>SUM(S359:S373)</f>
        <v>0</v>
      </c>
    </row>
    <row r="612" spans="2:19" ht="16.5" x14ac:dyDescent="0.3">
      <c r="B612" s="140" t="s">
        <v>2929</v>
      </c>
      <c r="C612" s="141">
        <f>SUM(C377:C497)</f>
        <v>2415.5400000000004</v>
      </c>
      <c r="D612" s="141">
        <f>SUM(D108:D182)</f>
        <v>1462.21</v>
      </c>
      <c r="E612" s="152"/>
      <c r="F612" s="147"/>
      <c r="G612" s="141">
        <f>SUM(G377:G497)</f>
        <v>2415.5400000000004</v>
      </c>
      <c r="H612" s="152"/>
      <c r="I612" s="141">
        <f>SUM(I377:I497)</f>
        <v>0</v>
      </c>
      <c r="J612" s="129"/>
      <c r="K612" s="141">
        <f>SUM(K377:K497)</f>
        <v>0</v>
      </c>
      <c r="L612" s="152"/>
      <c r="M612" s="141">
        <f>SUM(M377:M497)</f>
        <v>0</v>
      </c>
      <c r="N612" s="152"/>
      <c r="O612" s="141">
        <f>SUM(O377:O497)</f>
        <v>0</v>
      </c>
      <c r="P612" s="152"/>
      <c r="Q612" s="141">
        <f>SUM(Q377:Q497)</f>
        <v>0</v>
      </c>
      <c r="R612" s="129"/>
      <c r="S612" s="141">
        <f>SUM(S377:S497)</f>
        <v>0</v>
      </c>
    </row>
    <row r="613" spans="2:19" ht="16.5" x14ac:dyDescent="0.3">
      <c r="B613" s="143" t="s">
        <v>2930</v>
      </c>
      <c r="C613" s="144">
        <f>C607+C612</f>
        <v>8603.3349999999973</v>
      </c>
      <c r="D613" s="144">
        <f>D607+D612</f>
        <v>9385.0199999999968</v>
      </c>
      <c r="E613" s="144"/>
      <c r="F613" s="145"/>
      <c r="G613" s="144">
        <f>G607+G612</f>
        <v>6989.74</v>
      </c>
      <c r="H613" s="144"/>
      <c r="I613" s="144">
        <f>I607+I612</f>
        <v>998.8900000000001</v>
      </c>
      <c r="J613" s="144"/>
      <c r="K613" s="144">
        <f>K607+K612</f>
        <v>216.74</v>
      </c>
      <c r="L613" s="144"/>
      <c r="M613" s="144">
        <f>M607+M612</f>
        <v>21.04</v>
      </c>
      <c r="N613" s="144"/>
      <c r="O613" s="144">
        <f>O607+O612</f>
        <v>132.25</v>
      </c>
      <c r="P613" s="144"/>
      <c r="Q613" s="144">
        <f>Q607+Q612</f>
        <v>216.41500000000002</v>
      </c>
      <c r="R613" s="144"/>
      <c r="S613" s="144">
        <f>S607+S612</f>
        <v>0</v>
      </c>
    </row>
    <row r="614" spans="2:19" ht="16.5" x14ac:dyDescent="0.3">
      <c r="B614" s="140" t="s">
        <v>2931</v>
      </c>
      <c r="C614" s="141">
        <f>SUM(C500:C599)</f>
        <v>1591.2100000000005</v>
      </c>
      <c r="D614" s="141">
        <f>SUM(D183:D246)</f>
        <v>947.2399999999999</v>
      </c>
      <c r="E614" s="141"/>
      <c r="F614" s="147"/>
      <c r="G614" s="141">
        <f>SUM(G500:G599)</f>
        <v>1591.2100000000005</v>
      </c>
      <c r="H614" s="141"/>
      <c r="I614" s="141">
        <f>SUM(I500:I599)</f>
        <v>0</v>
      </c>
      <c r="J614" s="129"/>
      <c r="K614" s="141">
        <f>SUM(K500:K599)</f>
        <v>0</v>
      </c>
      <c r="L614" s="141"/>
      <c r="M614" s="141">
        <f>SUM(M500:M599)</f>
        <v>0</v>
      </c>
      <c r="N614" s="141"/>
      <c r="O614" s="141">
        <f>SUM(O500:O599)</f>
        <v>0</v>
      </c>
      <c r="P614" s="141"/>
      <c r="Q614" s="141">
        <f>SUM(Q500:Q599)</f>
        <v>0</v>
      </c>
      <c r="R614" s="129"/>
      <c r="S614" s="141">
        <f>SUM(S500:S599)</f>
        <v>0</v>
      </c>
    </row>
    <row r="615" spans="2:19" ht="16.5" x14ac:dyDescent="0.3">
      <c r="B615" s="143" t="s">
        <v>2919</v>
      </c>
      <c r="C615" s="144">
        <f>C613+C614</f>
        <v>10194.544999999998</v>
      </c>
      <c r="D615" s="144">
        <f>D613+D614</f>
        <v>10332.259999999997</v>
      </c>
      <c r="E615" s="144"/>
      <c r="F615" s="145"/>
      <c r="G615" s="144">
        <f>G613+G614</f>
        <v>8580.9500000000007</v>
      </c>
      <c r="H615" s="144"/>
      <c r="I615" s="144">
        <f>I613+I614</f>
        <v>998.8900000000001</v>
      </c>
      <c r="J615" s="144"/>
      <c r="K615" s="144">
        <f>K613+K614</f>
        <v>216.74</v>
      </c>
      <c r="L615" s="144"/>
      <c r="M615" s="144">
        <f>M613+M614</f>
        <v>21.04</v>
      </c>
      <c r="N615" s="144"/>
      <c r="O615" s="144">
        <f>O613+O614</f>
        <v>132.25</v>
      </c>
      <c r="P615" s="144"/>
      <c r="Q615" s="144">
        <f>Q613+Q614</f>
        <v>216.41500000000002</v>
      </c>
      <c r="R615" s="144"/>
      <c r="S615" s="144">
        <f>S613+S614</f>
        <v>0</v>
      </c>
    </row>
    <row r="618" spans="2:19" x14ac:dyDescent="0.25">
      <c r="C618" s="166" t="s">
        <v>2932</v>
      </c>
      <c r="D618" s="166" t="s">
        <v>2933</v>
      </c>
      <c r="E618" s="166" t="s">
        <v>2934</v>
      </c>
    </row>
    <row r="619" spans="2:19" x14ac:dyDescent="0.25">
      <c r="B619" s="574" t="s">
        <v>2935</v>
      </c>
      <c r="C619" s="167">
        <f>C607</f>
        <v>6187.7949999999973</v>
      </c>
      <c r="D619" s="46">
        <v>0.05</v>
      </c>
      <c r="E619" s="168">
        <f>C619*D619</f>
        <v>309.38974999999988</v>
      </c>
      <c r="I619" s="164">
        <f>SUM(G615:S615)</f>
        <v>10166.285000000002</v>
      </c>
    </row>
    <row r="622" spans="2:19" x14ac:dyDescent="0.25">
      <c r="C622">
        <v>20</v>
      </c>
    </row>
    <row r="623" spans="2:19" x14ac:dyDescent="0.25">
      <c r="B623" s="49">
        <f>C622*C615</f>
        <v>203890.89999999997</v>
      </c>
    </row>
  </sheetData>
  <mergeCells count="16">
    <mergeCell ref="F606:G606"/>
    <mergeCell ref="J606:K606"/>
    <mergeCell ref="R606:S606"/>
    <mergeCell ref="B605:S605"/>
    <mergeCell ref="B1:S1"/>
    <mergeCell ref="F3:G3"/>
    <mergeCell ref="J3:K3"/>
    <mergeCell ref="R3:S3"/>
    <mergeCell ref="H3:I3"/>
    <mergeCell ref="L3:M3"/>
    <mergeCell ref="N3:O3"/>
    <mergeCell ref="P3:Q3"/>
    <mergeCell ref="H606:I606"/>
    <mergeCell ref="L606:M606"/>
    <mergeCell ref="N606:O606"/>
    <mergeCell ref="P606:Q606"/>
  </mergeCells>
  <printOptions horizontalCentered="1"/>
  <pageMargins left="0.51181102362204722" right="0.51181102362204722" top="0.55118110236220474" bottom="0.62992125984251968" header="0.31496062992125984" footer="0.31496062992125984"/>
  <pageSetup paperSize="9" scale="5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L689"/>
  <sheetViews>
    <sheetView topLeftCell="A184" workbookViewId="0">
      <selection activeCell="D187" sqref="D187"/>
    </sheetView>
  </sheetViews>
  <sheetFormatPr defaultRowHeight="15.75" x14ac:dyDescent="0.25"/>
  <cols>
    <col min="1" max="1" width="10.25" style="44" bestFit="1" customWidth="1"/>
    <col min="2" max="2" width="9.375" style="44" customWidth="1"/>
    <col min="3" max="3" width="9.875" style="44" bestFit="1" customWidth="1"/>
    <col min="4" max="4" width="61.75" bestFit="1" customWidth="1"/>
    <col min="5" max="5" width="5.125" bestFit="1" customWidth="1"/>
    <col min="6" max="6" width="10.25" bestFit="1" customWidth="1"/>
    <col min="7" max="7" width="10.25" customWidth="1"/>
    <col min="8" max="8" width="10.25" bestFit="1" customWidth="1"/>
    <col min="9" max="9" width="10.25" style="157" bestFit="1" customWidth="1"/>
  </cols>
  <sheetData>
    <row r="1" spans="1:12" x14ac:dyDescent="0.25">
      <c r="A1" s="248" t="s">
        <v>2936</v>
      </c>
      <c r="B1" s="979" t="s">
        <v>2937</v>
      </c>
      <c r="C1" s="979"/>
      <c r="D1" s="979"/>
      <c r="E1" s="979"/>
      <c r="F1" s="979"/>
      <c r="G1" s="979"/>
      <c r="H1" s="979"/>
      <c r="I1" s="979"/>
    </row>
    <row r="2" spans="1:12" x14ac:dyDescent="0.25">
      <c r="A2" s="248" t="s">
        <v>2938</v>
      </c>
      <c r="B2" s="979" t="s">
        <v>2939</v>
      </c>
      <c r="C2" s="979"/>
      <c r="D2" s="979"/>
      <c r="E2" s="979"/>
      <c r="F2" s="979"/>
      <c r="G2" s="979"/>
      <c r="H2" s="979"/>
      <c r="I2" s="979"/>
    </row>
    <row r="3" spans="1:12" x14ac:dyDescent="0.25">
      <c r="A3" s="248" t="s">
        <v>2940</v>
      </c>
      <c r="B3" s="979" t="s">
        <v>1078</v>
      </c>
      <c r="C3" s="979"/>
      <c r="D3" s="979"/>
      <c r="E3" s="979"/>
      <c r="F3" s="979"/>
      <c r="G3" s="979"/>
      <c r="H3" s="979"/>
      <c r="I3" s="979"/>
    </row>
    <row r="4" spans="1:12" x14ac:dyDescent="0.25">
      <c r="A4" s="248" t="s">
        <v>2941</v>
      </c>
      <c r="B4" s="979"/>
      <c r="C4" s="979"/>
      <c r="D4" s="979"/>
      <c r="E4" s="979"/>
      <c r="F4" s="979"/>
      <c r="G4" s="979"/>
      <c r="H4" s="979"/>
      <c r="I4" s="979"/>
    </row>
    <row r="5" spans="1:12" ht="48" customHeight="1" x14ac:dyDescent="0.25">
      <c r="A5" s="980" t="s">
        <v>2942</v>
      </c>
      <c r="B5" s="980"/>
      <c r="C5" s="980"/>
      <c r="D5" s="980"/>
      <c r="E5" s="980"/>
      <c r="F5" s="981" t="s">
        <v>2943</v>
      </c>
      <c r="G5" s="981"/>
      <c r="H5" s="981"/>
      <c r="I5" s="981"/>
    </row>
    <row r="6" spans="1:12" ht="25.5" x14ac:dyDescent="0.25">
      <c r="A6" s="658" t="s">
        <v>302</v>
      </c>
      <c r="B6" s="658" t="s">
        <v>304</v>
      </c>
      <c r="C6" s="658" t="s">
        <v>2944</v>
      </c>
      <c r="D6" s="658" t="s">
        <v>305</v>
      </c>
      <c r="E6" s="658" t="s">
        <v>306</v>
      </c>
      <c r="F6" s="249" t="s">
        <v>307</v>
      </c>
      <c r="G6" s="249" t="s">
        <v>308</v>
      </c>
      <c r="H6" s="249" t="s">
        <v>309</v>
      </c>
      <c r="I6" s="249" t="s">
        <v>310</v>
      </c>
    </row>
    <row r="7" spans="1:12" ht="20.100000000000001" customHeight="1" x14ac:dyDescent="0.25">
      <c r="A7" s="660" t="s">
        <v>2945</v>
      </c>
      <c r="B7" s="660"/>
      <c r="C7" s="660"/>
      <c r="D7" s="250" t="s">
        <v>2946</v>
      </c>
      <c r="E7" s="660"/>
      <c r="F7" s="251"/>
      <c r="G7" s="251"/>
      <c r="H7" s="251"/>
      <c r="I7" s="251"/>
    </row>
    <row r="8" spans="1:12" x14ac:dyDescent="0.25">
      <c r="A8" s="252" t="s">
        <v>2947</v>
      </c>
      <c r="B8" s="252"/>
      <c r="C8" s="252"/>
      <c r="D8" s="253" t="s">
        <v>2948</v>
      </c>
      <c r="E8" s="252"/>
      <c r="F8" s="254"/>
      <c r="G8" s="254"/>
      <c r="H8" s="254"/>
      <c r="I8" s="255">
        <f>SUM(I9:I14)</f>
        <v>21581.91</v>
      </c>
      <c r="J8" s="131"/>
      <c r="K8" s="131"/>
      <c r="L8" s="131"/>
    </row>
    <row r="9" spans="1:12" ht="22.5" x14ac:dyDescent="0.25">
      <c r="A9" s="244" t="s">
        <v>2949</v>
      </c>
      <c r="B9" s="244" t="s">
        <v>1162</v>
      </c>
      <c r="C9" s="244" t="s">
        <v>2882</v>
      </c>
      <c r="D9" s="245" t="s">
        <v>2950</v>
      </c>
      <c r="E9" s="244" t="s">
        <v>473</v>
      </c>
      <c r="F9" s="256">
        <v>422.64</v>
      </c>
      <c r="G9" s="256">
        <v>11.78</v>
      </c>
      <c r="H9" s="256">
        <v>14.72</v>
      </c>
      <c r="I9" s="257">
        <f>ROUND(F9*H9,2)</f>
        <v>6221.26</v>
      </c>
      <c r="J9" s="131"/>
      <c r="K9" s="131"/>
      <c r="L9" s="131"/>
    </row>
    <row r="10" spans="1:12" ht="22.5" x14ac:dyDescent="0.25">
      <c r="A10" s="244" t="s">
        <v>2951</v>
      </c>
      <c r="B10" s="244" t="s">
        <v>1177</v>
      </c>
      <c r="C10" s="244" t="s">
        <v>2882</v>
      </c>
      <c r="D10" s="245" t="s">
        <v>2952</v>
      </c>
      <c r="E10" s="244" t="s">
        <v>473</v>
      </c>
      <c r="F10" s="256">
        <v>175.23</v>
      </c>
      <c r="G10" s="256">
        <v>9.17</v>
      </c>
      <c r="H10" s="256">
        <v>11.46</v>
      </c>
      <c r="I10" s="257">
        <f t="shared" ref="I10:I39" si="0">ROUND(F10*H10,2)</f>
        <v>2008.14</v>
      </c>
      <c r="J10" s="131"/>
      <c r="K10" s="131"/>
      <c r="L10" s="131"/>
    </row>
    <row r="11" spans="1:12" ht="22.5" x14ac:dyDescent="0.25">
      <c r="A11" s="244" t="s">
        <v>2953</v>
      </c>
      <c r="B11" s="244" t="s">
        <v>1180</v>
      </c>
      <c r="C11" s="244" t="s">
        <v>2882</v>
      </c>
      <c r="D11" s="245" t="s">
        <v>2954</v>
      </c>
      <c r="E11" s="244" t="s">
        <v>473</v>
      </c>
      <c r="F11" s="256">
        <v>38.369999999999997</v>
      </c>
      <c r="G11" s="256">
        <v>14</v>
      </c>
      <c r="H11" s="256">
        <v>17.489999999999998</v>
      </c>
      <c r="I11" s="257">
        <f t="shared" si="0"/>
        <v>671.09</v>
      </c>
      <c r="J11" s="131"/>
      <c r="K11" s="131"/>
      <c r="L11" s="131"/>
    </row>
    <row r="12" spans="1:12" x14ac:dyDescent="0.25">
      <c r="A12" s="244" t="s">
        <v>2955</v>
      </c>
      <c r="B12" s="244" t="s">
        <v>1324</v>
      </c>
      <c r="C12" s="244" t="s">
        <v>2956</v>
      </c>
      <c r="D12" s="245" t="s">
        <v>2957</v>
      </c>
      <c r="E12" s="244" t="s">
        <v>473</v>
      </c>
      <c r="F12" s="256">
        <v>13.2</v>
      </c>
      <c r="G12" s="256">
        <v>55.4</v>
      </c>
      <c r="H12" s="256">
        <v>69.209999999999994</v>
      </c>
      <c r="I12" s="257">
        <f t="shared" si="0"/>
        <v>913.57</v>
      </c>
      <c r="J12" s="131"/>
      <c r="K12" s="131"/>
      <c r="L12" s="131"/>
    </row>
    <row r="13" spans="1:12" ht="22.5" x14ac:dyDescent="0.25">
      <c r="A13" s="244" t="s">
        <v>2958</v>
      </c>
      <c r="B13" s="244" t="s">
        <v>1213</v>
      </c>
      <c r="C13" s="244" t="s">
        <v>2882</v>
      </c>
      <c r="D13" s="245" t="s">
        <v>2959</v>
      </c>
      <c r="E13" s="244" t="s">
        <v>473</v>
      </c>
      <c r="F13" s="256">
        <v>649.44000000000005</v>
      </c>
      <c r="G13" s="256">
        <v>7.23</v>
      </c>
      <c r="H13" s="256">
        <v>9.0299999999999994</v>
      </c>
      <c r="I13" s="257">
        <f t="shared" si="0"/>
        <v>5864.44</v>
      </c>
      <c r="J13" s="131"/>
      <c r="K13" s="131"/>
      <c r="L13" s="131"/>
    </row>
    <row r="14" spans="1:12" ht="22.5" x14ac:dyDescent="0.25">
      <c r="A14" s="244" t="s">
        <v>2960</v>
      </c>
      <c r="B14" s="244" t="s">
        <v>1216</v>
      </c>
      <c r="C14" s="244" t="s">
        <v>2882</v>
      </c>
      <c r="D14" s="245" t="s">
        <v>2961</v>
      </c>
      <c r="E14" s="244" t="s">
        <v>473</v>
      </c>
      <c r="F14" s="256">
        <v>649.44000000000005</v>
      </c>
      <c r="G14" s="256">
        <v>7.28</v>
      </c>
      <c r="H14" s="256">
        <v>9.09</v>
      </c>
      <c r="I14" s="257">
        <f t="shared" si="0"/>
        <v>5903.41</v>
      </c>
      <c r="J14" s="131"/>
      <c r="K14" s="131"/>
      <c r="L14" s="131"/>
    </row>
    <row r="15" spans="1:12" x14ac:dyDescent="0.25">
      <c r="A15" s="252" t="s">
        <v>2962</v>
      </c>
      <c r="B15" s="252"/>
      <c r="C15" s="252"/>
      <c r="D15" s="253" t="s">
        <v>2963</v>
      </c>
      <c r="E15" s="252"/>
      <c r="F15" s="254"/>
      <c r="G15" s="254"/>
      <c r="H15" s="254"/>
      <c r="I15" s="255">
        <f>SUM(I16:I39)</f>
        <v>13390.81</v>
      </c>
      <c r="J15" s="131"/>
      <c r="K15" s="131"/>
      <c r="L15" s="131"/>
    </row>
    <row r="16" spans="1:12" x14ac:dyDescent="0.25">
      <c r="A16" s="244" t="s">
        <v>2964</v>
      </c>
      <c r="B16" s="244" t="s">
        <v>1243</v>
      </c>
      <c r="C16" s="244" t="s">
        <v>2956</v>
      </c>
      <c r="D16" s="245" t="s">
        <v>2965</v>
      </c>
      <c r="E16" s="244" t="s">
        <v>1082</v>
      </c>
      <c r="F16" s="256">
        <v>21</v>
      </c>
      <c r="G16" s="256">
        <v>7.54</v>
      </c>
      <c r="H16" s="256">
        <v>9.42</v>
      </c>
      <c r="I16" s="257">
        <f t="shared" si="0"/>
        <v>197.82</v>
      </c>
      <c r="J16" s="131"/>
      <c r="K16" s="131"/>
      <c r="L16" s="131"/>
    </row>
    <row r="17" spans="1:12" x14ac:dyDescent="0.25">
      <c r="A17" s="244" t="s">
        <v>2966</v>
      </c>
      <c r="B17" s="244" t="s">
        <v>1249</v>
      </c>
      <c r="C17" s="244" t="s">
        <v>2956</v>
      </c>
      <c r="D17" s="245" t="s">
        <v>2967</v>
      </c>
      <c r="E17" s="244" t="s">
        <v>1082</v>
      </c>
      <c r="F17" s="256">
        <v>1</v>
      </c>
      <c r="G17" s="256">
        <v>12.51</v>
      </c>
      <c r="H17" s="256">
        <v>15.63</v>
      </c>
      <c r="I17" s="257">
        <f t="shared" si="0"/>
        <v>15.63</v>
      </c>
      <c r="J17" s="131"/>
      <c r="K17" s="131"/>
      <c r="L17" s="131"/>
    </row>
    <row r="18" spans="1:12" x14ac:dyDescent="0.25">
      <c r="A18" s="244" t="s">
        <v>2968</v>
      </c>
      <c r="B18" s="244" t="s">
        <v>1252</v>
      </c>
      <c r="C18" s="244" t="s">
        <v>2956</v>
      </c>
      <c r="D18" s="245" t="s">
        <v>2969</v>
      </c>
      <c r="E18" s="244" t="s">
        <v>1082</v>
      </c>
      <c r="F18" s="256">
        <v>1</v>
      </c>
      <c r="G18" s="256">
        <v>27.27</v>
      </c>
      <c r="H18" s="256">
        <v>34.07</v>
      </c>
      <c r="I18" s="257">
        <f t="shared" si="0"/>
        <v>34.07</v>
      </c>
      <c r="J18" s="131"/>
      <c r="K18" s="131"/>
      <c r="L18" s="131"/>
    </row>
    <row r="19" spans="1:12" ht="22.5" x14ac:dyDescent="0.25">
      <c r="A19" s="244" t="s">
        <v>2970</v>
      </c>
      <c r="B19" s="244" t="s">
        <v>1186</v>
      </c>
      <c r="C19" s="244" t="s">
        <v>2882</v>
      </c>
      <c r="D19" s="245" t="s">
        <v>2971</v>
      </c>
      <c r="E19" s="244" t="s">
        <v>1082</v>
      </c>
      <c r="F19" s="256">
        <v>1</v>
      </c>
      <c r="G19" s="256">
        <v>2.99</v>
      </c>
      <c r="H19" s="256">
        <v>3.74</v>
      </c>
      <c r="I19" s="257">
        <f t="shared" si="0"/>
        <v>3.74</v>
      </c>
      <c r="J19" s="131"/>
      <c r="K19" s="131"/>
      <c r="L19" s="131"/>
    </row>
    <row r="20" spans="1:12" ht="22.5" x14ac:dyDescent="0.25">
      <c r="A20" s="244" t="s">
        <v>2972</v>
      </c>
      <c r="B20" s="244" t="s">
        <v>1192</v>
      </c>
      <c r="C20" s="244" t="s">
        <v>2882</v>
      </c>
      <c r="D20" s="245" t="s">
        <v>2973</v>
      </c>
      <c r="E20" s="244" t="s">
        <v>1082</v>
      </c>
      <c r="F20" s="256">
        <v>1</v>
      </c>
      <c r="G20" s="256">
        <v>8.2100000000000009</v>
      </c>
      <c r="H20" s="256">
        <v>10.26</v>
      </c>
      <c r="I20" s="257">
        <f t="shared" si="0"/>
        <v>10.26</v>
      </c>
      <c r="J20" s="131"/>
      <c r="K20" s="131"/>
      <c r="L20" s="131"/>
    </row>
    <row r="21" spans="1:12" ht="22.5" x14ac:dyDescent="0.25">
      <c r="A21" s="244" t="s">
        <v>2974</v>
      </c>
      <c r="B21" s="244" t="s">
        <v>1165</v>
      </c>
      <c r="C21" s="244" t="s">
        <v>2882</v>
      </c>
      <c r="D21" s="245" t="s">
        <v>2975</v>
      </c>
      <c r="E21" s="244" t="s">
        <v>1082</v>
      </c>
      <c r="F21" s="256">
        <v>70</v>
      </c>
      <c r="G21" s="256">
        <v>4.88</v>
      </c>
      <c r="H21" s="256">
        <v>6.1</v>
      </c>
      <c r="I21" s="257">
        <f t="shared" si="0"/>
        <v>427</v>
      </c>
      <c r="J21" s="131"/>
      <c r="K21" s="131"/>
      <c r="L21" s="131"/>
    </row>
    <row r="22" spans="1:12" ht="22.5" x14ac:dyDescent="0.25">
      <c r="A22" s="244" t="s">
        <v>2976</v>
      </c>
      <c r="B22" s="244" t="s">
        <v>1189</v>
      </c>
      <c r="C22" s="244" t="s">
        <v>2882</v>
      </c>
      <c r="D22" s="245" t="s">
        <v>2977</v>
      </c>
      <c r="E22" s="244" t="s">
        <v>1082</v>
      </c>
      <c r="F22" s="256">
        <v>4</v>
      </c>
      <c r="G22" s="256">
        <v>7.18</v>
      </c>
      <c r="H22" s="256">
        <v>8.9700000000000006</v>
      </c>
      <c r="I22" s="257">
        <f t="shared" si="0"/>
        <v>35.880000000000003</v>
      </c>
      <c r="J22" s="131"/>
      <c r="K22" s="131"/>
      <c r="L22" s="131"/>
    </row>
    <row r="23" spans="1:12" ht="22.5" x14ac:dyDescent="0.25">
      <c r="A23" s="244" t="s">
        <v>2978</v>
      </c>
      <c r="B23" s="244" t="s">
        <v>1195</v>
      </c>
      <c r="C23" s="244" t="s">
        <v>2882</v>
      </c>
      <c r="D23" s="245" t="s">
        <v>2979</v>
      </c>
      <c r="E23" s="244" t="s">
        <v>1082</v>
      </c>
      <c r="F23" s="256">
        <v>1</v>
      </c>
      <c r="G23" s="256">
        <v>19.350000000000001</v>
      </c>
      <c r="H23" s="256">
        <v>24.17</v>
      </c>
      <c r="I23" s="257">
        <f t="shared" si="0"/>
        <v>24.17</v>
      </c>
      <c r="J23" s="131"/>
      <c r="K23" s="131"/>
      <c r="L23" s="131"/>
    </row>
    <row r="24" spans="1:12" ht="22.5" x14ac:dyDescent="0.25">
      <c r="A24" s="244" t="s">
        <v>2980</v>
      </c>
      <c r="B24" s="244" t="s">
        <v>1168</v>
      </c>
      <c r="C24" s="244" t="s">
        <v>2882</v>
      </c>
      <c r="D24" s="245" t="s">
        <v>2981</v>
      </c>
      <c r="E24" s="244" t="s">
        <v>1082</v>
      </c>
      <c r="F24" s="256">
        <v>66</v>
      </c>
      <c r="G24" s="256">
        <v>8.65</v>
      </c>
      <c r="H24" s="256">
        <v>10.81</v>
      </c>
      <c r="I24" s="257">
        <f t="shared" si="0"/>
        <v>713.46</v>
      </c>
      <c r="J24" s="131"/>
      <c r="K24" s="131"/>
      <c r="L24" s="131"/>
    </row>
    <row r="25" spans="1:12" ht="22.5" x14ac:dyDescent="0.25">
      <c r="A25" s="244" t="s">
        <v>2982</v>
      </c>
      <c r="B25" s="244" t="s">
        <v>1174</v>
      </c>
      <c r="C25" s="244" t="s">
        <v>2882</v>
      </c>
      <c r="D25" s="245" t="s">
        <v>2983</v>
      </c>
      <c r="E25" s="244" t="s">
        <v>1082</v>
      </c>
      <c r="F25" s="256">
        <v>18</v>
      </c>
      <c r="G25" s="256">
        <v>7.15</v>
      </c>
      <c r="H25" s="256">
        <v>8.93</v>
      </c>
      <c r="I25" s="257">
        <f t="shared" si="0"/>
        <v>160.74</v>
      </c>
      <c r="J25" s="131"/>
      <c r="K25" s="131"/>
      <c r="L25" s="131"/>
    </row>
    <row r="26" spans="1:12" ht="22.5" x14ac:dyDescent="0.25">
      <c r="A26" s="244" t="s">
        <v>2984</v>
      </c>
      <c r="B26" s="244" t="s">
        <v>1171</v>
      </c>
      <c r="C26" s="244" t="s">
        <v>2882</v>
      </c>
      <c r="D26" s="245" t="s">
        <v>2985</v>
      </c>
      <c r="E26" s="244" t="s">
        <v>1082</v>
      </c>
      <c r="F26" s="256">
        <v>8</v>
      </c>
      <c r="G26" s="256">
        <v>10.06</v>
      </c>
      <c r="H26" s="256">
        <v>12.57</v>
      </c>
      <c r="I26" s="257">
        <f t="shared" si="0"/>
        <v>100.56</v>
      </c>
      <c r="J26" s="131"/>
      <c r="K26" s="131"/>
      <c r="L26" s="131"/>
    </row>
    <row r="27" spans="1:12" x14ac:dyDescent="0.25">
      <c r="A27" s="244" t="s">
        <v>2986</v>
      </c>
      <c r="B27" s="244" t="s">
        <v>2987</v>
      </c>
      <c r="C27" s="244" t="s">
        <v>2882</v>
      </c>
      <c r="D27" s="245" t="s">
        <v>2988</v>
      </c>
      <c r="E27" s="244" t="s">
        <v>1082</v>
      </c>
      <c r="F27" s="256">
        <v>58</v>
      </c>
      <c r="G27" s="256">
        <v>72.569999999999993</v>
      </c>
      <c r="H27" s="256">
        <v>90.66</v>
      </c>
      <c r="I27" s="257">
        <f t="shared" si="0"/>
        <v>5258.28</v>
      </c>
      <c r="J27" s="131"/>
      <c r="K27" s="131"/>
      <c r="L27" s="131"/>
    </row>
    <row r="28" spans="1:12" x14ac:dyDescent="0.25">
      <c r="A28" s="244" t="s">
        <v>2989</v>
      </c>
      <c r="B28" s="244" t="s">
        <v>1273</v>
      </c>
      <c r="C28" s="244" t="s">
        <v>2956</v>
      </c>
      <c r="D28" s="245" t="s">
        <v>2990</v>
      </c>
      <c r="E28" s="244" t="s">
        <v>1082</v>
      </c>
      <c r="F28" s="256">
        <v>13</v>
      </c>
      <c r="G28" s="256">
        <v>108.52</v>
      </c>
      <c r="H28" s="256">
        <v>135.57</v>
      </c>
      <c r="I28" s="257">
        <f t="shared" si="0"/>
        <v>1762.41</v>
      </c>
      <c r="J28" s="131"/>
      <c r="K28" s="131"/>
      <c r="L28" s="131"/>
    </row>
    <row r="29" spans="1:12" ht="22.5" x14ac:dyDescent="0.25">
      <c r="A29" s="244" t="s">
        <v>2991</v>
      </c>
      <c r="B29" s="244" t="s">
        <v>1372</v>
      </c>
      <c r="C29" s="244" t="s">
        <v>504</v>
      </c>
      <c r="D29" s="245" t="s">
        <v>2992</v>
      </c>
      <c r="E29" s="244" t="s">
        <v>1082</v>
      </c>
      <c r="F29" s="256">
        <v>2</v>
      </c>
      <c r="G29" s="256">
        <v>13.43</v>
      </c>
      <c r="H29" s="256">
        <v>16.78</v>
      </c>
      <c r="I29" s="257">
        <f t="shared" si="0"/>
        <v>33.56</v>
      </c>
      <c r="J29" s="131"/>
      <c r="K29" s="131"/>
      <c r="L29" s="131"/>
    </row>
    <row r="30" spans="1:12" x14ac:dyDescent="0.25">
      <c r="A30" s="244" t="s">
        <v>2993</v>
      </c>
      <c r="B30" s="244" t="s">
        <v>1294</v>
      </c>
      <c r="C30" s="244" t="s">
        <v>2956</v>
      </c>
      <c r="D30" s="245" t="s">
        <v>2994</v>
      </c>
      <c r="E30" s="244" t="s">
        <v>1082</v>
      </c>
      <c r="F30" s="256">
        <v>7</v>
      </c>
      <c r="G30" s="256">
        <v>14.53</v>
      </c>
      <c r="H30" s="256">
        <v>18.149999999999999</v>
      </c>
      <c r="I30" s="257">
        <f t="shared" si="0"/>
        <v>127.05</v>
      </c>
      <c r="J30" s="131"/>
      <c r="K30" s="131"/>
      <c r="L30" s="131"/>
    </row>
    <row r="31" spans="1:12" x14ac:dyDescent="0.25">
      <c r="A31" s="244" t="s">
        <v>2995</v>
      </c>
      <c r="B31" s="244" t="s">
        <v>1297</v>
      </c>
      <c r="C31" s="244" t="s">
        <v>2956</v>
      </c>
      <c r="D31" s="245" t="s">
        <v>2996</v>
      </c>
      <c r="E31" s="244" t="s">
        <v>1082</v>
      </c>
      <c r="F31" s="256">
        <v>1</v>
      </c>
      <c r="G31" s="256">
        <v>28.96</v>
      </c>
      <c r="H31" s="256">
        <v>36.18</v>
      </c>
      <c r="I31" s="257">
        <f t="shared" si="0"/>
        <v>36.18</v>
      </c>
      <c r="J31" s="131"/>
      <c r="K31" s="131"/>
      <c r="L31" s="131"/>
    </row>
    <row r="32" spans="1:12" x14ac:dyDescent="0.25">
      <c r="A32" s="244" t="s">
        <v>2997</v>
      </c>
      <c r="B32" s="244" t="s">
        <v>1291</v>
      </c>
      <c r="C32" s="244" t="s">
        <v>2956</v>
      </c>
      <c r="D32" s="245" t="s">
        <v>2998</v>
      </c>
      <c r="E32" s="244" t="s">
        <v>1082</v>
      </c>
      <c r="F32" s="256">
        <v>40</v>
      </c>
      <c r="G32" s="256">
        <v>5.99</v>
      </c>
      <c r="H32" s="256">
        <v>7.48</v>
      </c>
      <c r="I32" s="257">
        <f t="shared" si="0"/>
        <v>299.2</v>
      </c>
      <c r="J32" s="131"/>
      <c r="K32" s="131"/>
      <c r="L32" s="131"/>
    </row>
    <row r="33" spans="1:12" ht="22.5" x14ac:dyDescent="0.25">
      <c r="A33" s="244" t="s">
        <v>2999</v>
      </c>
      <c r="B33" s="244" t="s">
        <v>1201</v>
      </c>
      <c r="C33" s="244" t="s">
        <v>2882</v>
      </c>
      <c r="D33" s="245" t="s">
        <v>3000</v>
      </c>
      <c r="E33" s="244" t="s">
        <v>1082</v>
      </c>
      <c r="F33" s="256">
        <v>17</v>
      </c>
      <c r="G33" s="256">
        <v>12.04</v>
      </c>
      <c r="H33" s="256">
        <v>15.04</v>
      </c>
      <c r="I33" s="257">
        <f t="shared" si="0"/>
        <v>255.68</v>
      </c>
      <c r="J33" s="131"/>
      <c r="K33" s="131"/>
      <c r="L33" s="131"/>
    </row>
    <row r="34" spans="1:12" x14ac:dyDescent="0.25">
      <c r="A34" s="244" t="s">
        <v>3001</v>
      </c>
      <c r="B34" s="244" t="s">
        <v>1327</v>
      </c>
      <c r="C34" s="244" t="s">
        <v>2956</v>
      </c>
      <c r="D34" s="245" t="s">
        <v>3002</v>
      </c>
      <c r="E34" s="244" t="s">
        <v>1082</v>
      </c>
      <c r="F34" s="256">
        <v>13</v>
      </c>
      <c r="G34" s="256">
        <v>136.18</v>
      </c>
      <c r="H34" s="256">
        <v>170.13</v>
      </c>
      <c r="I34" s="257">
        <f t="shared" si="0"/>
        <v>2211.69</v>
      </c>
      <c r="J34" s="131"/>
      <c r="K34" s="131"/>
      <c r="L34" s="131"/>
    </row>
    <row r="35" spans="1:12" ht="22.5" x14ac:dyDescent="0.25">
      <c r="A35" s="244" t="s">
        <v>3003</v>
      </c>
      <c r="B35" s="244" t="s">
        <v>1354</v>
      </c>
      <c r="C35" s="244" t="s">
        <v>504</v>
      </c>
      <c r="D35" s="245" t="s">
        <v>3004</v>
      </c>
      <c r="E35" s="244" t="s">
        <v>1082</v>
      </c>
      <c r="F35" s="256">
        <v>1</v>
      </c>
      <c r="G35" s="256">
        <v>26.39</v>
      </c>
      <c r="H35" s="256">
        <v>32.97</v>
      </c>
      <c r="I35" s="257">
        <f t="shared" si="0"/>
        <v>32.97</v>
      </c>
      <c r="J35" s="131"/>
      <c r="K35" s="131"/>
      <c r="L35" s="131"/>
    </row>
    <row r="36" spans="1:12" ht="22.5" x14ac:dyDescent="0.25">
      <c r="A36" s="244" t="s">
        <v>3005</v>
      </c>
      <c r="B36" s="244" t="s">
        <v>1357</v>
      </c>
      <c r="C36" s="244" t="s">
        <v>504</v>
      </c>
      <c r="D36" s="245" t="s">
        <v>3006</v>
      </c>
      <c r="E36" s="244" t="s">
        <v>1082</v>
      </c>
      <c r="F36" s="256">
        <v>1</v>
      </c>
      <c r="G36" s="256">
        <v>14.83</v>
      </c>
      <c r="H36" s="256">
        <v>18.53</v>
      </c>
      <c r="I36" s="257">
        <f t="shared" si="0"/>
        <v>18.53</v>
      </c>
      <c r="J36" s="131"/>
      <c r="K36" s="131"/>
      <c r="L36" s="131"/>
    </row>
    <row r="37" spans="1:12" ht="22.5" x14ac:dyDescent="0.25">
      <c r="A37" s="244" t="s">
        <v>3007</v>
      </c>
      <c r="B37" s="244" t="s">
        <v>1207</v>
      </c>
      <c r="C37" s="244" t="s">
        <v>2882</v>
      </c>
      <c r="D37" s="245" t="s">
        <v>3008</v>
      </c>
      <c r="E37" s="244" t="s">
        <v>1082</v>
      </c>
      <c r="F37" s="256">
        <v>25</v>
      </c>
      <c r="G37" s="256">
        <v>48.35</v>
      </c>
      <c r="H37" s="256">
        <v>60.4</v>
      </c>
      <c r="I37" s="257">
        <f t="shared" si="0"/>
        <v>1510</v>
      </c>
      <c r="J37" s="131"/>
      <c r="K37" s="131"/>
      <c r="L37" s="131"/>
    </row>
    <row r="38" spans="1:12" x14ac:dyDescent="0.25">
      <c r="A38" s="244" t="s">
        <v>3009</v>
      </c>
      <c r="B38" s="244" t="s">
        <v>1360</v>
      </c>
      <c r="C38" s="244" t="s">
        <v>504</v>
      </c>
      <c r="D38" s="245" t="s">
        <v>3010</v>
      </c>
      <c r="E38" s="244" t="s">
        <v>1082</v>
      </c>
      <c r="F38" s="256">
        <v>2</v>
      </c>
      <c r="G38" s="256">
        <v>31.74</v>
      </c>
      <c r="H38" s="256">
        <v>39.65</v>
      </c>
      <c r="I38" s="257">
        <f t="shared" si="0"/>
        <v>79.3</v>
      </c>
      <c r="J38" s="131"/>
      <c r="K38" s="131"/>
      <c r="L38" s="131"/>
    </row>
    <row r="39" spans="1:12" x14ac:dyDescent="0.25">
      <c r="A39" s="244" t="s">
        <v>3011</v>
      </c>
      <c r="B39" s="244" t="s">
        <v>1363</v>
      </c>
      <c r="C39" s="244" t="s">
        <v>504</v>
      </c>
      <c r="D39" s="245" t="s">
        <v>3012</v>
      </c>
      <c r="E39" s="244" t="s">
        <v>1082</v>
      </c>
      <c r="F39" s="256">
        <v>1</v>
      </c>
      <c r="G39" s="256">
        <v>34.119999999999997</v>
      </c>
      <c r="H39" s="256">
        <v>42.63</v>
      </c>
      <c r="I39" s="257">
        <f t="shared" si="0"/>
        <v>42.63</v>
      </c>
      <c r="J39" s="131"/>
      <c r="K39" s="131"/>
      <c r="L39" s="131"/>
    </row>
    <row r="40" spans="1:12" x14ac:dyDescent="0.25">
      <c r="A40" s="252" t="s">
        <v>3013</v>
      </c>
      <c r="B40" s="252"/>
      <c r="C40" s="252"/>
      <c r="D40" s="253" t="s">
        <v>3014</v>
      </c>
      <c r="E40" s="252"/>
      <c r="F40" s="258"/>
      <c r="G40" s="258"/>
      <c r="H40" s="258"/>
      <c r="I40" s="255">
        <f>I41+I50</f>
        <v>47485.78</v>
      </c>
      <c r="J40" s="131"/>
      <c r="K40" s="131"/>
      <c r="L40" s="131"/>
    </row>
    <row r="41" spans="1:12" x14ac:dyDescent="0.25">
      <c r="A41" s="252" t="s">
        <v>3015</v>
      </c>
      <c r="B41" s="252"/>
      <c r="C41" s="252"/>
      <c r="D41" s="253" t="s">
        <v>3016</v>
      </c>
      <c r="E41" s="252"/>
      <c r="F41" s="258"/>
      <c r="G41" s="258"/>
      <c r="H41" s="258"/>
      <c r="I41" s="255">
        <f>SUM(I42:I49)</f>
        <v>27590.17</v>
      </c>
      <c r="J41" s="131"/>
      <c r="K41" s="131"/>
      <c r="L41" s="131"/>
    </row>
    <row r="42" spans="1:12" x14ac:dyDescent="0.25">
      <c r="A42" s="244" t="s">
        <v>3017</v>
      </c>
      <c r="B42" s="244" t="s">
        <v>3018</v>
      </c>
      <c r="C42" s="244" t="s">
        <v>2882</v>
      </c>
      <c r="D42" s="245" t="s">
        <v>3019</v>
      </c>
      <c r="E42" s="244" t="s">
        <v>473</v>
      </c>
      <c r="F42" s="256">
        <v>13.2</v>
      </c>
      <c r="G42" s="256">
        <v>184.93</v>
      </c>
      <c r="H42" s="256">
        <v>231.03</v>
      </c>
      <c r="I42" s="257">
        <f>ROUND(F42*H42,2)</f>
        <v>3049.6</v>
      </c>
      <c r="J42" s="131"/>
      <c r="K42" s="131"/>
      <c r="L42" s="131"/>
    </row>
    <row r="43" spans="1:12" x14ac:dyDescent="0.25">
      <c r="A43" s="244" t="s">
        <v>3020</v>
      </c>
      <c r="B43" s="244" t="s">
        <v>1303</v>
      </c>
      <c r="C43" s="244" t="s">
        <v>2956</v>
      </c>
      <c r="D43" s="245" t="s">
        <v>3021</v>
      </c>
      <c r="E43" s="244" t="s">
        <v>473</v>
      </c>
      <c r="F43" s="256">
        <v>253.13</v>
      </c>
      <c r="G43" s="256">
        <v>32.659999999999997</v>
      </c>
      <c r="H43" s="256">
        <v>40.799999999999997</v>
      </c>
      <c r="I43" s="257">
        <f t="shared" ref="I43:I84" si="1">ROUND(F43*H43,2)</f>
        <v>10327.700000000001</v>
      </c>
      <c r="J43" s="131"/>
      <c r="K43" s="131"/>
      <c r="L43" s="131"/>
    </row>
    <row r="44" spans="1:12" x14ac:dyDescent="0.25">
      <c r="A44" s="244" t="s">
        <v>3022</v>
      </c>
      <c r="B44" s="244" t="s">
        <v>1306</v>
      </c>
      <c r="C44" s="244" t="s">
        <v>2956</v>
      </c>
      <c r="D44" s="245" t="s">
        <v>3023</v>
      </c>
      <c r="E44" s="244" t="s">
        <v>473</v>
      </c>
      <c r="F44" s="256">
        <v>63.93</v>
      </c>
      <c r="G44" s="256">
        <v>47.21</v>
      </c>
      <c r="H44" s="256">
        <v>58.98</v>
      </c>
      <c r="I44" s="257">
        <f t="shared" si="1"/>
        <v>3770.59</v>
      </c>
      <c r="J44" s="131"/>
      <c r="K44" s="131"/>
      <c r="L44" s="131"/>
    </row>
    <row r="45" spans="1:12" x14ac:dyDescent="0.25">
      <c r="A45" s="244" t="s">
        <v>3024</v>
      </c>
      <c r="B45" s="244" t="s">
        <v>1309</v>
      </c>
      <c r="C45" s="244" t="s">
        <v>2956</v>
      </c>
      <c r="D45" s="245" t="s">
        <v>3025</v>
      </c>
      <c r="E45" s="244" t="s">
        <v>473</v>
      </c>
      <c r="F45" s="256">
        <v>21.08</v>
      </c>
      <c r="G45" s="256">
        <v>71.31</v>
      </c>
      <c r="H45" s="256">
        <v>89.09</v>
      </c>
      <c r="I45" s="257">
        <f t="shared" si="1"/>
        <v>1878.02</v>
      </c>
      <c r="J45" s="131"/>
      <c r="K45" s="131"/>
      <c r="L45" s="131"/>
    </row>
    <row r="46" spans="1:12" x14ac:dyDescent="0.25">
      <c r="A46" s="244" t="s">
        <v>3026</v>
      </c>
      <c r="B46" s="244" t="s">
        <v>1312</v>
      </c>
      <c r="C46" s="244" t="s">
        <v>2956</v>
      </c>
      <c r="D46" s="245" t="s">
        <v>3027</v>
      </c>
      <c r="E46" s="244" t="s">
        <v>473</v>
      </c>
      <c r="F46" s="256">
        <v>13.83</v>
      </c>
      <c r="G46" s="256">
        <v>80.83</v>
      </c>
      <c r="H46" s="256">
        <v>100.98</v>
      </c>
      <c r="I46" s="257">
        <f t="shared" si="1"/>
        <v>1396.55</v>
      </c>
      <c r="J46" s="131"/>
      <c r="K46" s="131"/>
      <c r="L46" s="131"/>
    </row>
    <row r="47" spans="1:12" x14ac:dyDescent="0.25">
      <c r="A47" s="244" t="s">
        <v>3028</v>
      </c>
      <c r="B47" s="244" t="s">
        <v>1318</v>
      </c>
      <c r="C47" s="244" t="s">
        <v>2956</v>
      </c>
      <c r="D47" s="245" t="s">
        <v>3029</v>
      </c>
      <c r="E47" s="244" t="s">
        <v>473</v>
      </c>
      <c r="F47" s="256">
        <v>2.5</v>
      </c>
      <c r="G47" s="256">
        <v>161.86000000000001</v>
      </c>
      <c r="H47" s="256">
        <v>202.21</v>
      </c>
      <c r="I47" s="257">
        <f t="shared" si="1"/>
        <v>505.53</v>
      </c>
      <c r="J47" s="131"/>
      <c r="K47" s="131"/>
      <c r="L47" s="131"/>
    </row>
    <row r="48" spans="1:12" ht="22.5" x14ac:dyDescent="0.25">
      <c r="A48" s="244" t="s">
        <v>3030</v>
      </c>
      <c r="B48" s="244" t="s">
        <v>1213</v>
      </c>
      <c r="C48" s="244" t="s">
        <v>2882</v>
      </c>
      <c r="D48" s="245" t="s">
        <v>2959</v>
      </c>
      <c r="E48" s="244" t="s">
        <v>473</v>
      </c>
      <c r="F48" s="256">
        <v>367.67</v>
      </c>
      <c r="G48" s="256">
        <v>7.23</v>
      </c>
      <c r="H48" s="256">
        <v>9.0299999999999994</v>
      </c>
      <c r="I48" s="257">
        <f t="shared" si="1"/>
        <v>3320.06</v>
      </c>
      <c r="J48" s="131"/>
      <c r="K48" s="131"/>
      <c r="L48" s="131"/>
    </row>
    <row r="49" spans="1:12" ht="22.5" x14ac:dyDescent="0.25">
      <c r="A49" s="244" t="s">
        <v>3031</v>
      </c>
      <c r="B49" s="244" t="s">
        <v>1216</v>
      </c>
      <c r="C49" s="244" t="s">
        <v>2882</v>
      </c>
      <c r="D49" s="245" t="s">
        <v>2961</v>
      </c>
      <c r="E49" s="244" t="s">
        <v>473</v>
      </c>
      <c r="F49" s="256">
        <v>367.67</v>
      </c>
      <c r="G49" s="256">
        <v>7.28</v>
      </c>
      <c r="H49" s="256">
        <v>9.09</v>
      </c>
      <c r="I49" s="257">
        <f t="shared" si="1"/>
        <v>3342.12</v>
      </c>
      <c r="J49" s="131"/>
      <c r="K49" s="131"/>
      <c r="L49" s="131"/>
    </row>
    <row r="50" spans="1:12" x14ac:dyDescent="0.25">
      <c r="A50" s="252" t="s">
        <v>3032</v>
      </c>
      <c r="B50" s="252"/>
      <c r="C50" s="252"/>
      <c r="D50" s="253" t="s">
        <v>3033</v>
      </c>
      <c r="E50" s="252"/>
      <c r="F50" s="258"/>
      <c r="G50" s="258"/>
      <c r="H50" s="258"/>
      <c r="I50" s="255">
        <f>SUM(I51:I57)</f>
        <v>19895.61</v>
      </c>
      <c r="J50" s="131"/>
      <c r="K50" s="131"/>
      <c r="L50" s="131"/>
    </row>
    <row r="51" spans="1:12" x14ac:dyDescent="0.25">
      <c r="A51" s="244" t="s">
        <v>3034</v>
      </c>
      <c r="B51" s="244" t="s">
        <v>3018</v>
      </c>
      <c r="C51" s="244" t="s">
        <v>2882</v>
      </c>
      <c r="D51" s="245" t="s">
        <v>3019</v>
      </c>
      <c r="E51" s="244" t="s">
        <v>473</v>
      </c>
      <c r="F51" s="256">
        <v>13.2</v>
      </c>
      <c r="G51" s="256">
        <v>184.93</v>
      </c>
      <c r="H51" s="256">
        <v>231.03</v>
      </c>
      <c r="I51" s="257">
        <f t="shared" si="1"/>
        <v>3049.6</v>
      </c>
      <c r="J51" s="131"/>
      <c r="K51" s="131"/>
      <c r="L51" s="131"/>
    </row>
    <row r="52" spans="1:12" x14ac:dyDescent="0.25">
      <c r="A52" s="244" t="s">
        <v>3035</v>
      </c>
      <c r="B52" s="244" t="s">
        <v>1303</v>
      </c>
      <c r="C52" s="244" t="s">
        <v>2956</v>
      </c>
      <c r="D52" s="245" t="s">
        <v>3021</v>
      </c>
      <c r="E52" s="244" t="s">
        <v>473</v>
      </c>
      <c r="F52" s="256">
        <v>129.21</v>
      </c>
      <c r="G52" s="256">
        <v>32.659999999999997</v>
      </c>
      <c r="H52" s="256">
        <v>40.799999999999997</v>
      </c>
      <c r="I52" s="257">
        <f t="shared" si="1"/>
        <v>5271.77</v>
      </c>
      <c r="J52" s="131"/>
      <c r="K52" s="131"/>
      <c r="L52" s="131"/>
    </row>
    <row r="53" spans="1:12" x14ac:dyDescent="0.25">
      <c r="A53" s="244" t="s">
        <v>3036</v>
      </c>
      <c r="B53" s="244" t="s">
        <v>1306</v>
      </c>
      <c r="C53" s="244" t="s">
        <v>2956</v>
      </c>
      <c r="D53" s="245" t="s">
        <v>3023</v>
      </c>
      <c r="E53" s="244" t="s">
        <v>473</v>
      </c>
      <c r="F53" s="256">
        <v>65.42</v>
      </c>
      <c r="G53" s="256">
        <v>47.21</v>
      </c>
      <c r="H53" s="256">
        <v>58.98</v>
      </c>
      <c r="I53" s="257">
        <f t="shared" si="1"/>
        <v>3858.47</v>
      </c>
      <c r="J53" s="131"/>
      <c r="K53" s="131"/>
      <c r="L53" s="131"/>
    </row>
    <row r="54" spans="1:12" x14ac:dyDescent="0.25">
      <c r="A54" s="244" t="s">
        <v>3037</v>
      </c>
      <c r="B54" s="244" t="s">
        <v>1309</v>
      </c>
      <c r="C54" s="244" t="s">
        <v>2956</v>
      </c>
      <c r="D54" s="245" t="s">
        <v>3025</v>
      </c>
      <c r="E54" s="244" t="s">
        <v>473</v>
      </c>
      <c r="F54" s="256">
        <v>20.79</v>
      </c>
      <c r="G54" s="256">
        <v>71.31</v>
      </c>
      <c r="H54" s="256">
        <v>89.09</v>
      </c>
      <c r="I54" s="257">
        <f t="shared" si="1"/>
        <v>1852.18</v>
      </c>
      <c r="J54" s="131"/>
      <c r="K54" s="131"/>
      <c r="L54" s="131"/>
    </row>
    <row r="55" spans="1:12" x14ac:dyDescent="0.25">
      <c r="A55" s="244" t="s">
        <v>3038</v>
      </c>
      <c r="B55" s="244" t="s">
        <v>1312</v>
      </c>
      <c r="C55" s="244" t="s">
        <v>2956</v>
      </c>
      <c r="D55" s="245" t="s">
        <v>3027</v>
      </c>
      <c r="E55" s="244" t="s">
        <v>473</v>
      </c>
      <c r="F55" s="256">
        <v>14.45</v>
      </c>
      <c r="G55" s="256">
        <v>80.83</v>
      </c>
      <c r="H55" s="256">
        <v>100.98</v>
      </c>
      <c r="I55" s="257">
        <f t="shared" si="1"/>
        <v>1459.16</v>
      </c>
      <c r="J55" s="131"/>
      <c r="K55" s="131"/>
      <c r="L55" s="131"/>
    </row>
    <row r="56" spans="1:12" ht="22.5" x14ac:dyDescent="0.25">
      <c r="A56" s="244" t="s">
        <v>3039</v>
      </c>
      <c r="B56" s="244" t="s">
        <v>1213</v>
      </c>
      <c r="C56" s="244" t="s">
        <v>2882</v>
      </c>
      <c r="D56" s="245" t="s">
        <v>2959</v>
      </c>
      <c r="E56" s="244" t="s">
        <v>473</v>
      </c>
      <c r="F56" s="256">
        <v>243.07</v>
      </c>
      <c r="G56" s="256">
        <v>7.23</v>
      </c>
      <c r="H56" s="256">
        <v>9.0299999999999994</v>
      </c>
      <c r="I56" s="257">
        <f t="shared" si="1"/>
        <v>2194.92</v>
      </c>
      <c r="J56" s="131"/>
      <c r="K56" s="131"/>
      <c r="L56" s="131"/>
    </row>
    <row r="57" spans="1:12" ht="22.5" x14ac:dyDescent="0.25">
      <c r="A57" s="244" t="s">
        <v>3040</v>
      </c>
      <c r="B57" s="244" t="s">
        <v>1216</v>
      </c>
      <c r="C57" s="244" t="s">
        <v>2882</v>
      </c>
      <c r="D57" s="245" t="s">
        <v>2961</v>
      </c>
      <c r="E57" s="244" t="s">
        <v>473</v>
      </c>
      <c r="F57" s="256">
        <v>243.07</v>
      </c>
      <c r="G57" s="256">
        <v>7.28</v>
      </c>
      <c r="H57" s="256">
        <v>9.09</v>
      </c>
      <c r="I57" s="257">
        <f t="shared" si="1"/>
        <v>2209.5100000000002</v>
      </c>
      <c r="J57" s="131"/>
      <c r="K57" s="131"/>
      <c r="L57" s="131"/>
    </row>
    <row r="58" spans="1:12" x14ac:dyDescent="0.25">
      <c r="A58" s="252" t="s">
        <v>3041</v>
      </c>
      <c r="B58" s="252"/>
      <c r="C58" s="252"/>
      <c r="D58" s="253" t="s">
        <v>3042</v>
      </c>
      <c r="E58" s="252"/>
      <c r="F58" s="258"/>
      <c r="G58" s="258"/>
      <c r="H58" s="258"/>
      <c r="I58" s="255">
        <f>SUM(I59:I71)</f>
        <v>10439.550000000001</v>
      </c>
      <c r="J58" s="131"/>
      <c r="K58" s="131"/>
      <c r="L58" s="131"/>
    </row>
    <row r="59" spans="1:12" ht="22.5" x14ac:dyDescent="0.25">
      <c r="A59" s="244" t="s">
        <v>3043</v>
      </c>
      <c r="B59" s="244" t="s">
        <v>1237</v>
      </c>
      <c r="C59" s="244" t="s">
        <v>2882</v>
      </c>
      <c r="D59" s="245" t="s">
        <v>3044</v>
      </c>
      <c r="E59" s="244" t="s">
        <v>1082</v>
      </c>
      <c r="F59" s="256">
        <v>2</v>
      </c>
      <c r="G59" s="256">
        <v>466.74</v>
      </c>
      <c r="H59" s="256">
        <v>583.1</v>
      </c>
      <c r="I59" s="257">
        <f t="shared" si="1"/>
        <v>1166.2</v>
      </c>
      <c r="J59" s="131"/>
      <c r="K59" s="131"/>
      <c r="L59" s="131"/>
    </row>
    <row r="60" spans="1:12" ht="22.5" x14ac:dyDescent="0.25">
      <c r="A60" s="244" t="s">
        <v>3045</v>
      </c>
      <c r="B60" s="244" t="s">
        <v>1342</v>
      </c>
      <c r="C60" s="244" t="s">
        <v>504</v>
      </c>
      <c r="D60" s="245" t="s">
        <v>3046</v>
      </c>
      <c r="E60" s="244" t="s">
        <v>1082</v>
      </c>
      <c r="F60" s="256">
        <v>2</v>
      </c>
      <c r="G60" s="256">
        <v>713.38</v>
      </c>
      <c r="H60" s="256">
        <v>891.23</v>
      </c>
      <c r="I60" s="257">
        <f t="shared" si="1"/>
        <v>1782.46</v>
      </c>
      <c r="J60" s="131"/>
      <c r="K60" s="131"/>
      <c r="L60" s="131"/>
    </row>
    <row r="61" spans="1:12" ht="22.5" x14ac:dyDescent="0.25">
      <c r="A61" s="244" t="s">
        <v>3047</v>
      </c>
      <c r="B61" s="244" t="s">
        <v>1345</v>
      </c>
      <c r="C61" s="244" t="s">
        <v>504</v>
      </c>
      <c r="D61" s="245" t="s">
        <v>3048</v>
      </c>
      <c r="E61" s="244" t="s">
        <v>1082</v>
      </c>
      <c r="F61" s="256">
        <v>2</v>
      </c>
      <c r="G61" s="256">
        <v>662.41</v>
      </c>
      <c r="H61" s="256">
        <v>827.55</v>
      </c>
      <c r="I61" s="257">
        <f t="shared" si="1"/>
        <v>1655.1</v>
      </c>
      <c r="J61" s="131"/>
      <c r="K61" s="131"/>
      <c r="L61" s="131"/>
    </row>
    <row r="62" spans="1:12" ht="22.5" x14ac:dyDescent="0.25">
      <c r="A62" s="244" t="s">
        <v>3049</v>
      </c>
      <c r="B62" s="244" t="s">
        <v>1348</v>
      </c>
      <c r="C62" s="244" t="s">
        <v>504</v>
      </c>
      <c r="D62" s="245" t="s">
        <v>3050</v>
      </c>
      <c r="E62" s="244" t="s">
        <v>1082</v>
      </c>
      <c r="F62" s="256">
        <v>1</v>
      </c>
      <c r="G62" s="256">
        <v>351.84</v>
      </c>
      <c r="H62" s="256">
        <v>439.55</v>
      </c>
      <c r="I62" s="257">
        <f t="shared" si="1"/>
        <v>439.55</v>
      </c>
      <c r="J62" s="131"/>
      <c r="K62" s="131"/>
      <c r="L62" s="131"/>
    </row>
    <row r="63" spans="1:12" ht="22.5" x14ac:dyDescent="0.25">
      <c r="A63" s="244" t="s">
        <v>3051</v>
      </c>
      <c r="B63" s="244" t="s">
        <v>1225</v>
      </c>
      <c r="C63" s="244" t="s">
        <v>2882</v>
      </c>
      <c r="D63" s="245" t="s">
        <v>3052</v>
      </c>
      <c r="E63" s="244" t="s">
        <v>1082</v>
      </c>
      <c r="F63" s="256">
        <v>20</v>
      </c>
      <c r="G63" s="256">
        <v>12.13</v>
      </c>
      <c r="H63" s="256">
        <v>15.15</v>
      </c>
      <c r="I63" s="257">
        <f t="shared" si="1"/>
        <v>303</v>
      </c>
      <c r="J63" s="131"/>
      <c r="K63" s="131"/>
      <c r="L63" s="131"/>
    </row>
    <row r="64" spans="1:12" ht="22.5" x14ac:dyDescent="0.25">
      <c r="A64" s="244" t="s">
        <v>3053</v>
      </c>
      <c r="B64" s="244" t="s">
        <v>1228</v>
      </c>
      <c r="C64" s="244" t="s">
        <v>2882</v>
      </c>
      <c r="D64" s="245" t="s">
        <v>3054</v>
      </c>
      <c r="E64" s="244" t="s">
        <v>1082</v>
      </c>
      <c r="F64" s="256">
        <v>4</v>
      </c>
      <c r="G64" s="256">
        <v>17.670000000000002</v>
      </c>
      <c r="H64" s="256">
        <v>22.08</v>
      </c>
      <c r="I64" s="257">
        <f t="shared" si="1"/>
        <v>88.32</v>
      </c>
      <c r="J64" s="131"/>
      <c r="K64" s="131"/>
      <c r="L64" s="131"/>
    </row>
    <row r="65" spans="1:12" ht="22.5" x14ac:dyDescent="0.25">
      <c r="A65" s="244" t="s">
        <v>3055</v>
      </c>
      <c r="B65" s="244" t="s">
        <v>1222</v>
      </c>
      <c r="C65" s="244" t="s">
        <v>2882</v>
      </c>
      <c r="D65" s="245" t="s">
        <v>3056</v>
      </c>
      <c r="E65" s="244" t="s">
        <v>1082</v>
      </c>
      <c r="F65" s="256">
        <v>2</v>
      </c>
      <c r="G65" s="256">
        <v>30.91</v>
      </c>
      <c r="H65" s="256">
        <v>38.619999999999997</v>
      </c>
      <c r="I65" s="257">
        <f t="shared" si="1"/>
        <v>77.239999999999995</v>
      </c>
      <c r="J65" s="131"/>
      <c r="K65" s="131"/>
      <c r="L65" s="131"/>
    </row>
    <row r="66" spans="1:12" ht="22.5" x14ac:dyDescent="0.25">
      <c r="A66" s="244" t="s">
        <v>3057</v>
      </c>
      <c r="B66" s="244" t="s">
        <v>1210</v>
      </c>
      <c r="C66" s="244" t="s">
        <v>2882</v>
      </c>
      <c r="D66" s="245" t="s">
        <v>3058</v>
      </c>
      <c r="E66" s="244" t="s">
        <v>1082</v>
      </c>
      <c r="F66" s="256">
        <v>24</v>
      </c>
      <c r="G66" s="256">
        <v>50.84</v>
      </c>
      <c r="H66" s="256">
        <v>63.51</v>
      </c>
      <c r="I66" s="257">
        <f t="shared" si="1"/>
        <v>1524.24</v>
      </c>
      <c r="J66" s="131"/>
      <c r="K66" s="131"/>
      <c r="L66" s="131"/>
    </row>
    <row r="67" spans="1:12" x14ac:dyDescent="0.25">
      <c r="A67" s="244" t="s">
        <v>3059</v>
      </c>
      <c r="B67" s="244" t="s">
        <v>2987</v>
      </c>
      <c r="C67" s="244" t="s">
        <v>2882</v>
      </c>
      <c r="D67" s="245" t="s">
        <v>2988</v>
      </c>
      <c r="E67" s="244" t="s">
        <v>1082</v>
      </c>
      <c r="F67" s="256">
        <v>27</v>
      </c>
      <c r="G67" s="256">
        <v>72.569999999999993</v>
      </c>
      <c r="H67" s="256">
        <v>90.66</v>
      </c>
      <c r="I67" s="257">
        <f t="shared" si="1"/>
        <v>2447.8200000000002</v>
      </c>
      <c r="J67" s="131"/>
      <c r="K67" s="131"/>
      <c r="L67" s="131"/>
    </row>
    <row r="68" spans="1:12" x14ac:dyDescent="0.25">
      <c r="A68" s="244" t="s">
        <v>3060</v>
      </c>
      <c r="B68" s="244" t="s">
        <v>1279</v>
      </c>
      <c r="C68" s="244" t="s">
        <v>2956</v>
      </c>
      <c r="D68" s="245" t="s">
        <v>3061</v>
      </c>
      <c r="E68" s="244" t="s">
        <v>1082</v>
      </c>
      <c r="F68" s="256">
        <v>40</v>
      </c>
      <c r="G68" s="256">
        <v>12.15</v>
      </c>
      <c r="H68" s="256">
        <v>15.18</v>
      </c>
      <c r="I68" s="257">
        <f t="shared" si="1"/>
        <v>607.20000000000005</v>
      </c>
      <c r="J68" s="131"/>
      <c r="K68" s="131"/>
      <c r="L68" s="131"/>
    </row>
    <row r="69" spans="1:12" x14ac:dyDescent="0.25">
      <c r="A69" s="244" t="s">
        <v>3062</v>
      </c>
      <c r="B69" s="244" t="s">
        <v>1282</v>
      </c>
      <c r="C69" s="244" t="s">
        <v>2956</v>
      </c>
      <c r="D69" s="245" t="s">
        <v>3063</v>
      </c>
      <c r="E69" s="244" t="s">
        <v>1082</v>
      </c>
      <c r="F69" s="256">
        <v>4</v>
      </c>
      <c r="G69" s="256">
        <v>16.809999999999999</v>
      </c>
      <c r="H69" s="256">
        <v>21</v>
      </c>
      <c r="I69" s="257">
        <f t="shared" si="1"/>
        <v>84</v>
      </c>
      <c r="J69" s="131"/>
      <c r="K69" s="131"/>
      <c r="L69" s="131"/>
    </row>
    <row r="70" spans="1:12" x14ac:dyDescent="0.25">
      <c r="A70" s="244" t="s">
        <v>3064</v>
      </c>
      <c r="B70" s="244" t="s">
        <v>1285</v>
      </c>
      <c r="C70" s="244" t="s">
        <v>2956</v>
      </c>
      <c r="D70" s="245" t="s">
        <v>3065</v>
      </c>
      <c r="E70" s="244" t="s">
        <v>1082</v>
      </c>
      <c r="F70" s="256">
        <v>2</v>
      </c>
      <c r="G70" s="256">
        <v>35.31</v>
      </c>
      <c r="H70" s="256">
        <v>44.11</v>
      </c>
      <c r="I70" s="257">
        <f t="shared" si="1"/>
        <v>88.22</v>
      </c>
      <c r="J70" s="131"/>
      <c r="K70" s="131"/>
      <c r="L70" s="131"/>
    </row>
    <row r="71" spans="1:12" ht="22.5" x14ac:dyDescent="0.25">
      <c r="A71" s="244" t="s">
        <v>3066</v>
      </c>
      <c r="B71" s="244" t="s">
        <v>1351</v>
      </c>
      <c r="C71" s="244" t="s">
        <v>504</v>
      </c>
      <c r="D71" s="245" t="s">
        <v>3067</v>
      </c>
      <c r="E71" s="244" t="s">
        <v>1082</v>
      </c>
      <c r="F71" s="256">
        <v>2</v>
      </c>
      <c r="G71" s="256">
        <v>70.52</v>
      </c>
      <c r="H71" s="256">
        <v>88.1</v>
      </c>
      <c r="I71" s="257">
        <f t="shared" si="1"/>
        <v>176.2</v>
      </c>
      <c r="J71" s="131"/>
      <c r="K71" s="131"/>
      <c r="L71" s="131"/>
    </row>
    <row r="72" spans="1:12" x14ac:dyDescent="0.25">
      <c r="A72" s="252" t="s">
        <v>3068</v>
      </c>
      <c r="B72" s="252"/>
      <c r="C72" s="252"/>
      <c r="D72" s="253" t="s">
        <v>3069</v>
      </c>
      <c r="E72" s="252"/>
      <c r="F72" s="258"/>
      <c r="G72" s="258"/>
      <c r="H72" s="258"/>
      <c r="I72" s="255">
        <f>SUM(I73:I84)</f>
        <v>69616.62</v>
      </c>
      <c r="J72" s="131"/>
      <c r="K72" s="131"/>
      <c r="L72" s="131"/>
    </row>
    <row r="73" spans="1:12" x14ac:dyDescent="0.25">
      <c r="A73" s="244" t="s">
        <v>3070</v>
      </c>
      <c r="B73" s="244" t="s">
        <v>3071</v>
      </c>
      <c r="C73" s="244" t="s">
        <v>2956</v>
      </c>
      <c r="D73" s="245" t="s">
        <v>3072</v>
      </c>
      <c r="E73" s="244" t="s">
        <v>1082</v>
      </c>
      <c r="F73" s="256">
        <v>13</v>
      </c>
      <c r="G73" s="256">
        <v>195.08</v>
      </c>
      <c r="H73" s="256">
        <v>243.71</v>
      </c>
      <c r="I73" s="257">
        <f t="shared" si="1"/>
        <v>3168.23</v>
      </c>
      <c r="J73" s="131"/>
      <c r="K73" s="131"/>
      <c r="L73" s="131"/>
    </row>
    <row r="74" spans="1:12" ht="33.75" x14ac:dyDescent="0.25">
      <c r="A74" s="244" t="s">
        <v>3073</v>
      </c>
      <c r="B74" s="244" t="s">
        <v>3074</v>
      </c>
      <c r="C74" s="244" t="s">
        <v>2882</v>
      </c>
      <c r="D74" s="245" t="s">
        <v>3075</v>
      </c>
      <c r="E74" s="244" t="s">
        <v>1082</v>
      </c>
      <c r="F74" s="256">
        <v>25</v>
      </c>
      <c r="G74" s="256">
        <v>313.45999999999998</v>
      </c>
      <c r="H74" s="256">
        <v>391.61</v>
      </c>
      <c r="I74" s="257">
        <f t="shared" si="1"/>
        <v>9790.25</v>
      </c>
      <c r="J74" s="131"/>
      <c r="K74" s="131"/>
      <c r="L74" s="131"/>
    </row>
    <row r="75" spans="1:12" x14ac:dyDescent="0.25">
      <c r="A75" s="244" t="s">
        <v>3076</v>
      </c>
      <c r="B75" s="244" t="s">
        <v>1240</v>
      </c>
      <c r="C75" s="244" t="s">
        <v>2956</v>
      </c>
      <c r="D75" s="245" t="s">
        <v>3077</v>
      </c>
      <c r="E75" s="244" t="s">
        <v>1082</v>
      </c>
      <c r="F75" s="256">
        <v>1</v>
      </c>
      <c r="G75" s="256">
        <v>1878.84</v>
      </c>
      <c r="H75" s="256">
        <v>2347.23</v>
      </c>
      <c r="I75" s="257">
        <f t="shared" si="1"/>
        <v>2347.23</v>
      </c>
      <c r="J75" s="131"/>
      <c r="K75" s="131"/>
      <c r="L75" s="131"/>
    </row>
    <row r="76" spans="1:12" x14ac:dyDescent="0.25">
      <c r="A76" s="244" t="s">
        <v>3078</v>
      </c>
      <c r="B76" s="244" t="s">
        <v>1339</v>
      </c>
      <c r="C76" s="244" t="s">
        <v>2956</v>
      </c>
      <c r="D76" s="245" t="s">
        <v>3079</v>
      </c>
      <c r="E76" s="244" t="s">
        <v>1082</v>
      </c>
      <c r="F76" s="256">
        <v>15</v>
      </c>
      <c r="G76" s="256">
        <v>87.71</v>
      </c>
      <c r="H76" s="256">
        <v>109.58</v>
      </c>
      <c r="I76" s="257">
        <f t="shared" si="1"/>
        <v>1643.7</v>
      </c>
      <c r="J76" s="131"/>
      <c r="K76" s="131"/>
      <c r="L76" s="131"/>
    </row>
    <row r="77" spans="1:12" ht="22.5" x14ac:dyDescent="0.25">
      <c r="A77" s="244" t="s">
        <v>3080</v>
      </c>
      <c r="B77" s="244" t="s">
        <v>1204</v>
      </c>
      <c r="C77" s="244" t="s">
        <v>2882</v>
      </c>
      <c r="D77" s="259" t="s">
        <v>3081</v>
      </c>
      <c r="E77" s="244" t="s">
        <v>1082</v>
      </c>
      <c r="F77" s="256">
        <v>15</v>
      </c>
      <c r="G77" s="256">
        <v>184.57</v>
      </c>
      <c r="H77" s="256">
        <v>230.58</v>
      </c>
      <c r="I77" s="257">
        <f t="shared" si="1"/>
        <v>3458.7</v>
      </c>
      <c r="J77" s="131"/>
      <c r="K77" s="131"/>
      <c r="L77" s="131"/>
    </row>
    <row r="78" spans="1:12" x14ac:dyDescent="0.25">
      <c r="A78" s="244" t="s">
        <v>3082</v>
      </c>
      <c r="B78" s="244" t="s">
        <v>1255</v>
      </c>
      <c r="C78" s="244" t="s">
        <v>2956</v>
      </c>
      <c r="D78" s="245" t="s">
        <v>3083</v>
      </c>
      <c r="E78" s="244" t="s">
        <v>1082</v>
      </c>
      <c r="F78" s="256">
        <v>18</v>
      </c>
      <c r="G78" s="256">
        <v>58.28</v>
      </c>
      <c r="H78" s="256">
        <v>72.81</v>
      </c>
      <c r="I78" s="257">
        <f t="shared" si="1"/>
        <v>1310.58</v>
      </c>
      <c r="J78" s="131"/>
      <c r="K78" s="131"/>
      <c r="L78" s="131"/>
    </row>
    <row r="79" spans="1:12" ht="22.5" x14ac:dyDescent="0.25">
      <c r="A79" s="244" t="s">
        <v>3084</v>
      </c>
      <c r="B79" s="244" t="s">
        <v>3085</v>
      </c>
      <c r="C79" s="244" t="s">
        <v>2956</v>
      </c>
      <c r="D79" s="245" t="s">
        <v>3086</v>
      </c>
      <c r="E79" s="244" t="s">
        <v>1082</v>
      </c>
      <c r="F79" s="256">
        <v>4</v>
      </c>
      <c r="G79" s="256">
        <v>762.68</v>
      </c>
      <c r="H79" s="256">
        <v>952.82</v>
      </c>
      <c r="I79" s="257">
        <f t="shared" si="1"/>
        <v>3811.28</v>
      </c>
      <c r="J79" s="131"/>
      <c r="K79" s="131"/>
      <c r="L79" s="131"/>
    </row>
    <row r="80" spans="1:12" x14ac:dyDescent="0.25">
      <c r="A80" s="244" t="s">
        <v>3087</v>
      </c>
      <c r="B80" s="244" t="s">
        <v>1258</v>
      </c>
      <c r="C80" s="244" t="s">
        <v>2956</v>
      </c>
      <c r="D80" s="245" t="s">
        <v>3088</v>
      </c>
      <c r="E80" s="244" t="s">
        <v>1082</v>
      </c>
      <c r="F80" s="256">
        <v>5</v>
      </c>
      <c r="G80" s="256">
        <v>182.59</v>
      </c>
      <c r="H80" s="256">
        <v>228.11</v>
      </c>
      <c r="I80" s="257">
        <f t="shared" si="1"/>
        <v>1140.55</v>
      </c>
      <c r="J80" s="131"/>
      <c r="K80" s="131"/>
      <c r="L80" s="131"/>
    </row>
    <row r="81" spans="1:12" ht="45" x14ac:dyDescent="0.25">
      <c r="A81" s="244" t="s">
        <v>3089</v>
      </c>
      <c r="B81" s="244" t="s">
        <v>3090</v>
      </c>
      <c r="C81" s="244" t="s">
        <v>2882</v>
      </c>
      <c r="D81" s="245" t="s">
        <v>3091</v>
      </c>
      <c r="E81" s="244" t="s">
        <v>1082</v>
      </c>
      <c r="F81" s="256">
        <v>44</v>
      </c>
      <c r="G81" s="256">
        <v>399.47</v>
      </c>
      <c r="H81" s="256">
        <v>499.06</v>
      </c>
      <c r="I81" s="257">
        <f t="shared" si="1"/>
        <v>21958.639999999999</v>
      </c>
      <c r="J81" s="131"/>
      <c r="K81" s="131"/>
      <c r="L81" s="131"/>
    </row>
    <row r="82" spans="1:12" x14ac:dyDescent="0.25">
      <c r="A82" s="244" t="s">
        <v>3092</v>
      </c>
      <c r="B82" s="244" t="s">
        <v>3093</v>
      </c>
      <c r="C82" s="244" t="s">
        <v>2956</v>
      </c>
      <c r="D82" s="245" t="s">
        <v>3094</v>
      </c>
      <c r="E82" s="244" t="s">
        <v>1082</v>
      </c>
      <c r="F82" s="256">
        <v>18</v>
      </c>
      <c r="G82" s="256">
        <v>697.79</v>
      </c>
      <c r="H82" s="256">
        <v>871.75</v>
      </c>
      <c r="I82" s="257">
        <f t="shared" si="1"/>
        <v>15691.5</v>
      </c>
      <c r="J82" s="131"/>
      <c r="K82" s="131"/>
      <c r="L82" s="131"/>
    </row>
    <row r="83" spans="1:12" ht="33.75" x14ac:dyDescent="0.25">
      <c r="A83" s="244" t="s">
        <v>3095</v>
      </c>
      <c r="B83" s="244" t="s">
        <v>3096</v>
      </c>
      <c r="C83" s="244" t="s">
        <v>2882</v>
      </c>
      <c r="D83" s="245" t="s">
        <v>3097</v>
      </c>
      <c r="E83" s="244" t="s">
        <v>1082</v>
      </c>
      <c r="F83" s="256">
        <v>6</v>
      </c>
      <c r="G83" s="256">
        <v>509.25</v>
      </c>
      <c r="H83" s="256">
        <v>636.21</v>
      </c>
      <c r="I83" s="257">
        <f t="shared" si="1"/>
        <v>3817.26</v>
      </c>
      <c r="J83" s="131"/>
      <c r="K83" s="131"/>
      <c r="L83" s="131"/>
    </row>
    <row r="84" spans="1:12" ht="22.5" x14ac:dyDescent="0.25">
      <c r="A84" s="244" t="s">
        <v>3098</v>
      </c>
      <c r="B84" s="244" t="s">
        <v>3099</v>
      </c>
      <c r="C84" s="244" t="s">
        <v>2882</v>
      </c>
      <c r="D84" s="245" t="s">
        <v>3100</v>
      </c>
      <c r="E84" s="244" t="s">
        <v>1082</v>
      </c>
      <c r="F84" s="256">
        <v>18</v>
      </c>
      <c r="G84" s="256">
        <v>65.760000000000005</v>
      </c>
      <c r="H84" s="256">
        <v>82.15</v>
      </c>
      <c r="I84" s="257">
        <f t="shared" si="1"/>
        <v>1478.7</v>
      </c>
      <c r="J84" s="131"/>
      <c r="K84" s="131"/>
      <c r="L84" s="131"/>
    </row>
    <row r="85" spans="1:12" x14ac:dyDescent="0.25">
      <c r="A85" s="660" t="s">
        <v>2945</v>
      </c>
      <c r="B85" s="660"/>
      <c r="C85" s="660"/>
      <c r="D85" s="250" t="s">
        <v>3101</v>
      </c>
      <c r="E85" s="660"/>
      <c r="F85" s="260"/>
      <c r="G85" s="260"/>
      <c r="H85" s="260"/>
      <c r="I85" s="260"/>
      <c r="J85" s="131"/>
      <c r="K85" s="131"/>
      <c r="L85" s="131"/>
    </row>
    <row r="86" spans="1:12" x14ac:dyDescent="0.25">
      <c r="A86" s="252" t="s">
        <v>2947</v>
      </c>
      <c r="B86" s="252"/>
      <c r="C86" s="252"/>
      <c r="D86" s="253" t="s">
        <v>2948</v>
      </c>
      <c r="E86" s="252"/>
      <c r="F86" s="254"/>
      <c r="G86" s="255"/>
      <c r="H86" s="255"/>
      <c r="I86" s="255">
        <f>SUM(I87:I92)</f>
        <v>10262.810000000001</v>
      </c>
      <c r="J86" s="131"/>
      <c r="K86" s="131"/>
      <c r="L86" s="131"/>
    </row>
    <row r="87" spans="1:12" ht="22.5" x14ac:dyDescent="0.25">
      <c r="A87" s="244" t="s">
        <v>2949</v>
      </c>
      <c r="B87" s="244" t="s">
        <v>1162</v>
      </c>
      <c r="C87" s="244" t="s">
        <v>2882</v>
      </c>
      <c r="D87" s="245" t="s">
        <v>2950</v>
      </c>
      <c r="E87" s="244" t="s">
        <v>473</v>
      </c>
      <c r="F87" s="256">
        <v>132.53</v>
      </c>
      <c r="G87" s="257">
        <v>11.78</v>
      </c>
      <c r="H87" s="257">
        <v>14.72</v>
      </c>
      <c r="I87" s="257">
        <f>ROUND(F87*H87,2)</f>
        <v>1950.84</v>
      </c>
      <c r="J87" s="131"/>
      <c r="K87" s="131"/>
      <c r="L87" s="131"/>
    </row>
    <row r="88" spans="1:12" ht="22.5" x14ac:dyDescent="0.25">
      <c r="A88" s="244" t="s">
        <v>2951</v>
      </c>
      <c r="B88" s="244" t="s">
        <v>1177</v>
      </c>
      <c r="C88" s="244" t="s">
        <v>2882</v>
      </c>
      <c r="D88" s="245" t="s">
        <v>2952</v>
      </c>
      <c r="E88" s="244" t="s">
        <v>473</v>
      </c>
      <c r="F88" s="256">
        <v>103.03</v>
      </c>
      <c r="G88" s="257">
        <v>9.17</v>
      </c>
      <c r="H88" s="257">
        <v>11.46</v>
      </c>
      <c r="I88" s="257">
        <f t="shared" ref="I88:I151" si="2">ROUND(F88*H88,2)</f>
        <v>1180.72</v>
      </c>
      <c r="J88" s="131"/>
      <c r="K88" s="131"/>
      <c r="L88" s="131"/>
    </row>
    <row r="89" spans="1:12" ht="22.5" x14ac:dyDescent="0.25">
      <c r="A89" s="244" t="s">
        <v>2953</v>
      </c>
      <c r="B89" s="244" t="s">
        <v>1180</v>
      </c>
      <c r="C89" s="244" t="s">
        <v>2882</v>
      </c>
      <c r="D89" s="245" t="s">
        <v>2954</v>
      </c>
      <c r="E89" s="244" t="s">
        <v>473</v>
      </c>
      <c r="F89" s="256">
        <v>72</v>
      </c>
      <c r="G89" s="257">
        <v>14</v>
      </c>
      <c r="H89" s="257">
        <v>17.489999999999998</v>
      </c>
      <c r="I89" s="257">
        <f t="shared" si="2"/>
        <v>1259.28</v>
      </c>
      <c r="J89" s="131"/>
      <c r="K89" s="131"/>
      <c r="L89" s="131"/>
    </row>
    <row r="90" spans="1:12" ht="22.5" x14ac:dyDescent="0.25">
      <c r="A90" s="244" t="s">
        <v>2955</v>
      </c>
      <c r="B90" s="244" t="s">
        <v>1183</v>
      </c>
      <c r="C90" s="244" t="s">
        <v>2882</v>
      </c>
      <c r="D90" s="245" t="s">
        <v>3102</v>
      </c>
      <c r="E90" s="244" t="s">
        <v>473</v>
      </c>
      <c r="F90" s="256">
        <v>7.04</v>
      </c>
      <c r="G90" s="257">
        <v>19.489999999999998</v>
      </c>
      <c r="H90" s="257">
        <v>24.35</v>
      </c>
      <c r="I90" s="257">
        <f t="shared" si="2"/>
        <v>171.42</v>
      </c>
      <c r="J90" s="131"/>
      <c r="K90" s="131"/>
      <c r="L90" s="131"/>
    </row>
    <row r="91" spans="1:12" ht="22.5" x14ac:dyDescent="0.25">
      <c r="A91" s="244" t="s">
        <v>2958</v>
      </c>
      <c r="B91" s="244" t="s">
        <v>1213</v>
      </c>
      <c r="C91" s="244" t="s">
        <v>2882</v>
      </c>
      <c r="D91" s="245" t="s">
        <v>2959</v>
      </c>
      <c r="E91" s="244" t="s">
        <v>473</v>
      </c>
      <c r="F91" s="256">
        <v>314.60000000000002</v>
      </c>
      <c r="G91" s="257">
        <v>7.23</v>
      </c>
      <c r="H91" s="257">
        <v>9.0299999999999994</v>
      </c>
      <c r="I91" s="257">
        <f t="shared" si="2"/>
        <v>2840.84</v>
      </c>
      <c r="J91" s="131"/>
      <c r="K91" s="131"/>
      <c r="L91" s="131"/>
    </row>
    <row r="92" spans="1:12" ht="22.5" x14ac:dyDescent="0.25">
      <c r="A92" s="244" t="s">
        <v>2960</v>
      </c>
      <c r="B92" s="244" t="s">
        <v>1216</v>
      </c>
      <c r="C92" s="244" t="s">
        <v>2882</v>
      </c>
      <c r="D92" s="245" t="s">
        <v>2961</v>
      </c>
      <c r="E92" s="244" t="s">
        <v>473</v>
      </c>
      <c r="F92" s="256">
        <v>314.60000000000002</v>
      </c>
      <c r="G92" s="257">
        <v>7.28</v>
      </c>
      <c r="H92" s="257">
        <v>9.09</v>
      </c>
      <c r="I92" s="257">
        <f t="shared" si="2"/>
        <v>2859.71</v>
      </c>
      <c r="J92" s="131"/>
      <c r="K92" s="131"/>
      <c r="L92" s="131"/>
    </row>
    <row r="93" spans="1:12" x14ac:dyDescent="0.25">
      <c r="A93" s="252" t="s">
        <v>2962</v>
      </c>
      <c r="B93" s="252"/>
      <c r="C93" s="252"/>
      <c r="D93" s="253" t="s">
        <v>2963</v>
      </c>
      <c r="E93" s="252"/>
      <c r="F93" s="254"/>
      <c r="G93" s="255"/>
      <c r="H93" s="255"/>
      <c r="I93" s="255">
        <f>SUM(I94:I117)</f>
        <v>11869.29</v>
      </c>
      <c r="J93" s="131"/>
      <c r="K93" s="131"/>
      <c r="L93" s="131"/>
    </row>
    <row r="94" spans="1:12" x14ac:dyDescent="0.25">
      <c r="A94" s="244" t="s">
        <v>2964</v>
      </c>
      <c r="B94" s="244" t="s">
        <v>1243</v>
      </c>
      <c r="C94" s="244" t="s">
        <v>2956</v>
      </c>
      <c r="D94" s="245" t="s">
        <v>2965</v>
      </c>
      <c r="E94" s="244" t="s">
        <v>1082</v>
      </c>
      <c r="F94" s="256">
        <v>17</v>
      </c>
      <c r="G94" s="257">
        <v>7.54</v>
      </c>
      <c r="H94" s="257">
        <v>9.42</v>
      </c>
      <c r="I94" s="257">
        <f t="shared" si="2"/>
        <v>160.13999999999999</v>
      </c>
      <c r="J94" s="131"/>
      <c r="K94" s="131"/>
      <c r="L94" s="131"/>
    </row>
    <row r="95" spans="1:12" x14ac:dyDescent="0.25">
      <c r="A95" s="244" t="s">
        <v>2966</v>
      </c>
      <c r="B95" s="244" t="s">
        <v>1249</v>
      </c>
      <c r="C95" s="244" t="s">
        <v>2956</v>
      </c>
      <c r="D95" s="245" t="s">
        <v>2967</v>
      </c>
      <c r="E95" s="244" t="s">
        <v>1082</v>
      </c>
      <c r="F95" s="256">
        <v>8</v>
      </c>
      <c r="G95" s="257">
        <v>12.51</v>
      </c>
      <c r="H95" s="257">
        <v>15.63</v>
      </c>
      <c r="I95" s="257">
        <f t="shared" si="2"/>
        <v>125.04</v>
      </c>
      <c r="J95" s="131"/>
      <c r="K95" s="131"/>
      <c r="L95" s="131"/>
    </row>
    <row r="96" spans="1:12" x14ac:dyDescent="0.25">
      <c r="A96" s="244" t="s">
        <v>2968</v>
      </c>
      <c r="B96" s="244" t="s">
        <v>1261</v>
      </c>
      <c r="C96" s="244" t="s">
        <v>2956</v>
      </c>
      <c r="D96" s="245" t="s">
        <v>3103</v>
      </c>
      <c r="E96" s="244" t="s">
        <v>1082</v>
      </c>
      <c r="F96" s="256">
        <v>1</v>
      </c>
      <c r="G96" s="257">
        <v>26.19</v>
      </c>
      <c r="H96" s="257">
        <v>32.72</v>
      </c>
      <c r="I96" s="257">
        <f t="shared" si="2"/>
        <v>32.72</v>
      </c>
      <c r="J96" s="131"/>
      <c r="K96" s="131"/>
      <c r="L96" s="131"/>
    </row>
    <row r="97" spans="1:12" ht="22.5" x14ac:dyDescent="0.25">
      <c r="A97" s="244" t="s">
        <v>2970</v>
      </c>
      <c r="B97" s="244" t="s">
        <v>1186</v>
      </c>
      <c r="C97" s="244" t="s">
        <v>2882</v>
      </c>
      <c r="D97" s="245" t="s">
        <v>2971</v>
      </c>
      <c r="E97" s="244" t="s">
        <v>1082</v>
      </c>
      <c r="F97" s="256">
        <v>2</v>
      </c>
      <c r="G97" s="257">
        <v>2.99</v>
      </c>
      <c r="H97" s="257">
        <v>3.74</v>
      </c>
      <c r="I97" s="257">
        <f t="shared" si="2"/>
        <v>7.48</v>
      </c>
      <c r="J97" s="131"/>
      <c r="K97" s="131"/>
      <c r="L97" s="131"/>
    </row>
    <row r="98" spans="1:12" ht="22.5" x14ac:dyDescent="0.25">
      <c r="A98" s="244" t="s">
        <v>2972</v>
      </c>
      <c r="B98" s="244" t="s">
        <v>1192</v>
      </c>
      <c r="C98" s="244" t="s">
        <v>2882</v>
      </c>
      <c r="D98" s="245" t="s">
        <v>2973</v>
      </c>
      <c r="E98" s="244" t="s">
        <v>1082</v>
      </c>
      <c r="F98" s="256">
        <v>1</v>
      </c>
      <c r="G98" s="257">
        <v>8.2100000000000009</v>
      </c>
      <c r="H98" s="257">
        <v>10.26</v>
      </c>
      <c r="I98" s="257">
        <f t="shared" si="2"/>
        <v>10.26</v>
      </c>
      <c r="J98" s="131"/>
      <c r="K98" s="131"/>
      <c r="L98" s="131"/>
    </row>
    <row r="99" spans="1:12" ht="22.5" x14ac:dyDescent="0.25">
      <c r="A99" s="244" t="s">
        <v>2974</v>
      </c>
      <c r="B99" s="244" t="s">
        <v>1165</v>
      </c>
      <c r="C99" s="244" t="s">
        <v>2882</v>
      </c>
      <c r="D99" s="245" t="s">
        <v>2975</v>
      </c>
      <c r="E99" s="244" t="s">
        <v>1082</v>
      </c>
      <c r="F99" s="256">
        <v>69</v>
      </c>
      <c r="G99" s="257">
        <v>4.88</v>
      </c>
      <c r="H99" s="257">
        <v>6.1</v>
      </c>
      <c r="I99" s="257">
        <f t="shared" si="2"/>
        <v>420.9</v>
      </c>
      <c r="J99" s="131"/>
      <c r="K99" s="131"/>
      <c r="L99" s="131"/>
    </row>
    <row r="100" spans="1:12" ht="22.5" x14ac:dyDescent="0.25">
      <c r="A100" s="244" t="s">
        <v>2976</v>
      </c>
      <c r="B100" s="244" t="s">
        <v>1189</v>
      </c>
      <c r="C100" s="244" t="s">
        <v>2882</v>
      </c>
      <c r="D100" s="245" t="s">
        <v>2977</v>
      </c>
      <c r="E100" s="244" t="s">
        <v>1082</v>
      </c>
      <c r="F100" s="256">
        <v>24</v>
      </c>
      <c r="G100" s="257">
        <v>7.18</v>
      </c>
      <c r="H100" s="257">
        <v>8.9700000000000006</v>
      </c>
      <c r="I100" s="257">
        <f t="shared" si="2"/>
        <v>215.28</v>
      </c>
      <c r="J100" s="131"/>
      <c r="K100" s="131"/>
      <c r="L100" s="131"/>
    </row>
    <row r="101" spans="1:12" ht="22.5" x14ac:dyDescent="0.25">
      <c r="A101" s="244" t="s">
        <v>2978</v>
      </c>
      <c r="B101" s="244" t="s">
        <v>1195</v>
      </c>
      <c r="C101" s="244" t="s">
        <v>2882</v>
      </c>
      <c r="D101" s="245" t="s">
        <v>2979</v>
      </c>
      <c r="E101" s="244" t="s">
        <v>1082</v>
      </c>
      <c r="F101" s="256">
        <v>4</v>
      </c>
      <c r="G101" s="257">
        <v>19.350000000000001</v>
      </c>
      <c r="H101" s="257">
        <v>24.17</v>
      </c>
      <c r="I101" s="257">
        <f t="shared" si="2"/>
        <v>96.68</v>
      </c>
      <c r="J101" s="131"/>
      <c r="K101" s="131"/>
      <c r="L101" s="131"/>
    </row>
    <row r="102" spans="1:12" ht="22.5" x14ac:dyDescent="0.25">
      <c r="A102" s="244" t="s">
        <v>2980</v>
      </c>
      <c r="B102" s="244" t="s">
        <v>1168</v>
      </c>
      <c r="C102" s="244" t="s">
        <v>2882</v>
      </c>
      <c r="D102" s="245" t="s">
        <v>2981</v>
      </c>
      <c r="E102" s="244" t="s">
        <v>1082</v>
      </c>
      <c r="F102" s="256">
        <v>60</v>
      </c>
      <c r="G102" s="257">
        <v>8.65</v>
      </c>
      <c r="H102" s="257">
        <v>10.81</v>
      </c>
      <c r="I102" s="257">
        <f t="shared" si="2"/>
        <v>648.6</v>
      </c>
      <c r="J102" s="131"/>
      <c r="K102" s="131"/>
      <c r="L102" s="131"/>
    </row>
    <row r="103" spans="1:12" x14ac:dyDescent="0.25">
      <c r="A103" s="244" t="s">
        <v>2982</v>
      </c>
      <c r="B103" s="244" t="s">
        <v>3104</v>
      </c>
      <c r="C103" s="244" t="s">
        <v>2882</v>
      </c>
      <c r="D103" s="245" t="s">
        <v>3105</v>
      </c>
      <c r="E103" s="244" t="s">
        <v>1082</v>
      </c>
      <c r="F103" s="256">
        <v>1</v>
      </c>
      <c r="G103" s="257">
        <v>90.38</v>
      </c>
      <c r="H103" s="257">
        <v>112.91</v>
      </c>
      <c r="I103" s="257">
        <f t="shared" si="2"/>
        <v>112.91</v>
      </c>
      <c r="J103" s="131"/>
      <c r="K103" s="131"/>
      <c r="L103" s="131"/>
    </row>
    <row r="104" spans="1:12" ht="22.5" x14ac:dyDescent="0.25">
      <c r="A104" s="244" t="s">
        <v>2984</v>
      </c>
      <c r="B104" s="244" t="s">
        <v>1171</v>
      </c>
      <c r="C104" s="244" t="s">
        <v>2882</v>
      </c>
      <c r="D104" s="245" t="s">
        <v>2985</v>
      </c>
      <c r="E104" s="244" t="s">
        <v>1082</v>
      </c>
      <c r="F104" s="256">
        <v>1</v>
      </c>
      <c r="G104" s="257">
        <v>10.06</v>
      </c>
      <c r="H104" s="257">
        <v>12.57</v>
      </c>
      <c r="I104" s="257">
        <f t="shared" si="2"/>
        <v>12.57</v>
      </c>
      <c r="J104" s="131"/>
      <c r="K104" s="131"/>
      <c r="L104" s="131"/>
    </row>
    <row r="105" spans="1:12" x14ac:dyDescent="0.25">
      <c r="A105" s="244" t="s">
        <v>2986</v>
      </c>
      <c r="B105" s="244" t="s">
        <v>2987</v>
      </c>
      <c r="C105" s="244" t="s">
        <v>2882</v>
      </c>
      <c r="D105" s="245" t="s">
        <v>2988</v>
      </c>
      <c r="E105" s="244" t="s">
        <v>1082</v>
      </c>
      <c r="F105" s="256">
        <v>26</v>
      </c>
      <c r="G105" s="257">
        <v>72.569999999999993</v>
      </c>
      <c r="H105" s="257">
        <v>90.66</v>
      </c>
      <c r="I105" s="257">
        <f t="shared" si="2"/>
        <v>2357.16</v>
      </c>
      <c r="J105" s="131"/>
      <c r="K105" s="131"/>
      <c r="L105" s="131"/>
    </row>
    <row r="106" spans="1:12" x14ac:dyDescent="0.25">
      <c r="A106" s="244" t="s">
        <v>2989</v>
      </c>
      <c r="B106" s="244" t="s">
        <v>1273</v>
      </c>
      <c r="C106" s="244" t="s">
        <v>2956</v>
      </c>
      <c r="D106" s="245" t="s">
        <v>2990</v>
      </c>
      <c r="E106" s="244" t="s">
        <v>1082</v>
      </c>
      <c r="F106" s="256">
        <v>9</v>
      </c>
      <c r="G106" s="257">
        <v>108.52</v>
      </c>
      <c r="H106" s="257">
        <v>135.57</v>
      </c>
      <c r="I106" s="257">
        <f t="shared" si="2"/>
        <v>1220.1300000000001</v>
      </c>
      <c r="J106" s="131"/>
      <c r="K106" s="131"/>
      <c r="L106" s="131"/>
    </row>
    <row r="107" spans="1:12" ht="22.5" x14ac:dyDescent="0.25">
      <c r="A107" s="244" t="s">
        <v>2991</v>
      </c>
      <c r="B107" s="244" t="s">
        <v>1372</v>
      </c>
      <c r="C107" s="244" t="s">
        <v>504</v>
      </c>
      <c r="D107" s="245" t="s">
        <v>2992</v>
      </c>
      <c r="E107" s="244" t="s">
        <v>1082</v>
      </c>
      <c r="F107" s="256">
        <v>15</v>
      </c>
      <c r="G107" s="257">
        <v>13.43</v>
      </c>
      <c r="H107" s="257">
        <v>16.78</v>
      </c>
      <c r="I107" s="257">
        <f t="shared" si="2"/>
        <v>251.7</v>
      </c>
      <c r="J107" s="131"/>
      <c r="K107" s="131"/>
      <c r="L107" s="131"/>
    </row>
    <row r="108" spans="1:12" x14ac:dyDescent="0.25">
      <c r="A108" s="244" t="s">
        <v>2993</v>
      </c>
      <c r="B108" s="244" t="s">
        <v>1294</v>
      </c>
      <c r="C108" s="244" t="s">
        <v>2956</v>
      </c>
      <c r="D108" s="245" t="s">
        <v>2994</v>
      </c>
      <c r="E108" s="244" t="s">
        <v>1082</v>
      </c>
      <c r="F108" s="256">
        <v>17</v>
      </c>
      <c r="G108" s="257">
        <v>14.53</v>
      </c>
      <c r="H108" s="257">
        <v>18.149999999999999</v>
      </c>
      <c r="I108" s="257">
        <f t="shared" si="2"/>
        <v>308.55</v>
      </c>
      <c r="J108" s="131"/>
      <c r="K108" s="131"/>
      <c r="L108" s="131"/>
    </row>
    <row r="109" spans="1:12" x14ac:dyDescent="0.25">
      <c r="A109" s="244" t="s">
        <v>2995</v>
      </c>
      <c r="B109" s="244" t="s">
        <v>1297</v>
      </c>
      <c r="C109" s="244" t="s">
        <v>2956</v>
      </c>
      <c r="D109" s="245" t="s">
        <v>2996</v>
      </c>
      <c r="E109" s="244" t="s">
        <v>1082</v>
      </c>
      <c r="F109" s="256">
        <v>4</v>
      </c>
      <c r="G109" s="257">
        <v>28.96</v>
      </c>
      <c r="H109" s="257">
        <v>36.18</v>
      </c>
      <c r="I109" s="257">
        <f t="shared" si="2"/>
        <v>144.72</v>
      </c>
      <c r="J109" s="131"/>
      <c r="K109" s="131"/>
      <c r="L109" s="131"/>
    </row>
    <row r="110" spans="1:12" x14ac:dyDescent="0.25">
      <c r="A110" s="244" t="s">
        <v>2997</v>
      </c>
      <c r="B110" s="244" t="s">
        <v>1291</v>
      </c>
      <c r="C110" s="244" t="s">
        <v>2956</v>
      </c>
      <c r="D110" s="245" t="s">
        <v>2998</v>
      </c>
      <c r="E110" s="244" t="s">
        <v>1082</v>
      </c>
      <c r="F110" s="256">
        <v>5</v>
      </c>
      <c r="G110" s="257">
        <v>5.99</v>
      </c>
      <c r="H110" s="257">
        <v>7.48</v>
      </c>
      <c r="I110" s="257">
        <f t="shared" si="2"/>
        <v>37.4</v>
      </c>
      <c r="J110" s="131"/>
      <c r="K110" s="131"/>
      <c r="L110" s="131"/>
    </row>
    <row r="111" spans="1:12" ht="22.5" x14ac:dyDescent="0.25">
      <c r="A111" s="244" t="s">
        <v>3106</v>
      </c>
      <c r="B111" s="244" t="s">
        <v>1201</v>
      </c>
      <c r="C111" s="244" t="s">
        <v>2882</v>
      </c>
      <c r="D111" s="245" t="s">
        <v>3000</v>
      </c>
      <c r="E111" s="244" t="s">
        <v>1082</v>
      </c>
      <c r="F111" s="256">
        <v>16</v>
      </c>
      <c r="G111" s="257">
        <v>12.04</v>
      </c>
      <c r="H111" s="257">
        <v>15.04</v>
      </c>
      <c r="I111" s="257">
        <f t="shared" si="2"/>
        <v>240.64</v>
      </c>
      <c r="J111" s="131"/>
      <c r="K111" s="131"/>
      <c r="L111" s="131"/>
    </row>
    <row r="112" spans="1:12" x14ac:dyDescent="0.25">
      <c r="A112" s="244" t="s">
        <v>2999</v>
      </c>
      <c r="B112" s="244" t="s">
        <v>1327</v>
      </c>
      <c r="C112" s="244" t="s">
        <v>2956</v>
      </c>
      <c r="D112" s="245" t="s">
        <v>3002</v>
      </c>
      <c r="E112" s="244" t="s">
        <v>1082</v>
      </c>
      <c r="F112" s="256">
        <v>12</v>
      </c>
      <c r="G112" s="257">
        <v>136.18</v>
      </c>
      <c r="H112" s="257">
        <v>170.13</v>
      </c>
      <c r="I112" s="257">
        <f t="shared" si="2"/>
        <v>2041.56</v>
      </c>
      <c r="J112" s="131"/>
      <c r="K112" s="131"/>
      <c r="L112" s="131"/>
    </row>
    <row r="113" spans="1:12" x14ac:dyDescent="0.25">
      <c r="A113" s="244" t="s">
        <v>3001</v>
      </c>
      <c r="B113" s="244" t="s">
        <v>1366</v>
      </c>
      <c r="C113" s="244" t="s">
        <v>504</v>
      </c>
      <c r="D113" s="245" t="s">
        <v>3107</v>
      </c>
      <c r="E113" s="244" t="s">
        <v>1082</v>
      </c>
      <c r="F113" s="256">
        <v>1</v>
      </c>
      <c r="G113" s="257">
        <v>19.38</v>
      </c>
      <c r="H113" s="257">
        <v>24.21</v>
      </c>
      <c r="I113" s="257">
        <f t="shared" si="2"/>
        <v>24.21</v>
      </c>
      <c r="J113" s="131"/>
      <c r="K113" s="131"/>
      <c r="L113" s="131"/>
    </row>
    <row r="114" spans="1:12" ht="22.5" x14ac:dyDescent="0.25">
      <c r="A114" s="244" t="s">
        <v>3003</v>
      </c>
      <c r="B114" s="244" t="s">
        <v>1357</v>
      </c>
      <c r="C114" s="244" t="s">
        <v>504</v>
      </c>
      <c r="D114" s="245" t="s">
        <v>3006</v>
      </c>
      <c r="E114" s="244" t="s">
        <v>1082</v>
      </c>
      <c r="F114" s="256">
        <v>4</v>
      </c>
      <c r="G114" s="257">
        <v>14.83</v>
      </c>
      <c r="H114" s="257">
        <v>18.53</v>
      </c>
      <c r="I114" s="257">
        <f t="shared" si="2"/>
        <v>74.12</v>
      </c>
      <c r="J114" s="131"/>
      <c r="K114" s="131"/>
      <c r="L114" s="131"/>
    </row>
    <row r="115" spans="1:12" ht="22.5" x14ac:dyDescent="0.25">
      <c r="A115" s="244" t="s">
        <v>3005</v>
      </c>
      <c r="B115" s="244" t="s">
        <v>1207</v>
      </c>
      <c r="C115" s="244" t="s">
        <v>2882</v>
      </c>
      <c r="D115" s="245" t="s">
        <v>3008</v>
      </c>
      <c r="E115" s="244" t="s">
        <v>1082</v>
      </c>
      <c r="F115" s="256">
        <v>47</v>
      </c>
      <c r="G115" s="257">
        <v>48.35</v>
      </c>
      <c r="H115" s="257">
        <v>60.4</v>
      </c>
      <c r="I115" s="257">
        <f t="shared" si="2"/>
        <v>2838.8</v>
      </c>
      <c r="J115" s="131"/>
      <c r="K115" s="131"/>
      <c r="L115" s="131"/>
    </row>
    <row r="116" spans="1:12" x14ac:dyDescent="0.25">
      <c r="A116" s="244" t="s">
        <v>3007</v>
      </c>
      <c r="B116" s="244" t="s">
        <v>1360</v>
      </c>
      <c r="C116" s="244" t="s">
        <v>504</v>
      </c>
      <c r="D116" s="245" t="s">
        <v>3010</v>
      </c>
      <c r="E116" s="244" t="s">
        <v>1082</v>
      </c>
      <c r="F116" s="256">
        <v>8</v>
      </c>
      <c r="G116" s="257">
        <v>31.74</v>
      </c>
      <c r="H116" s="257">
        <v>39.65</v>
      </c>
      <c r="I116" s="257">
        <f t="shared" si="2"/>
        <v>317.2</v>
      </c>
      <c r="J116" s="131"/>
      <c r="K116" s="131"/>
      <c r="L116" s="131"/>
    </row>
    <row r="117" spans="1:12" x14ac:dyDescent="0.25">
      <c r="A117" s="244" t="s">
        <v>3009</v>
      </c>
      <c r="B117" s="244" t="s">
        <v>1363</v>
      </c>
      <c r="C117" s="244" t="s">
        <v>504</v>
      </c>
      <c r="D117" s="245" t="s">
        <v>3012</v>
      </c>
      <c r="E117" s="244" t="s">
        <v>1082</v>
      </c>
      <c r="F117" s="256">
        <v>4</v>
      </c>
      <c r="G117" s="257">
        <v>34.119999999999997</v>
      </c>
      <c r="H117" s="257">
        <v>42.63</v>
      </c>
      <c r="I117" s="257">
        <f t="shared" si="2"/>
        <v>170.52</v>
      </c>
      <c r="J117" s="131"/>
      <c r="K117" s="131"/>
      <c r="L117" s="131"/>
    </row>
    <row r="118" spans="1:12" x14ac:dyDescent="0.25">
      <c r="A118" s="252" t="s">
        <v>3013</v>
      </c>
      <c r="B118" s="252"/>
      <c r="C118" s="252"/>
      <c r="D118" s="253" t="s">
        <v>3014</v>
      </c>
      <c r="E118" s="252"/>
      <c r="F118" s="254"/>
      <c r="G118" s="255"/>
      <c r="H118" s="255"/>
      <c r="I118" s="255">
        <f>SUM(I119:I128)</f>
        <v>12236.17</v>
      </c>
      <c r="J118" s="131"/>
      <c r="K118" s="131"/>
      <c r="L118" s="131"/>
    </row>
    <row r="119" spans="1:12" x14ac:dyDescent="0.25">
      <c r="A119" s="261" t="s">
        <v>3015</v>
      </c>
      <c r="B119" s="261"/>
      <c r="C119" s="261"/>
      <c r="D119" s="262" t="s">
        <v>3016</v>
      </c>
      <c r="E119" s="261"/>
      <c r="F119" s="263"/>
      <c r="G119" s="264"/>
      <c r="H119" s="264"/>
      <c r="I119" s="257">
        <f t="shared" si="2"/>
        <v>0</v>
      </c>
      <c r="J119" s="131"/>
      <c r="K119" s="131"/>
      <c r="L119" s="131"/>
    </row>
    <row r="120" spans="1:12" x14ac:dyDescent="0.25">
      <c r="A120" s="244" t="s">
        <v>3017</v>
      </c>
      <c r="B120" s="244" t="s">
        <v>1303</v>
      </c>
      <c r="C120" s="244" t="s">
        <v>2956</v>
      </c>
      <c r="D120" s="245" t="s">
        <v>3021</v>
      </c>
      <c r="E120" s="244" t="s">
        <v>473</v>
      </c>
      <c r="F120" s="256">
        <v>33</v>
      </c>
      <c r="G120" s="257">
        <v>32.659999999999997</v>
      </c>
      <c r="H120" s="257">
        <v>40.799999999999997</v>
      </c>
      <c r="I120" s="257">
        <f t="shared" si="2"/>
        <v>1346.4</v>
      </c>
      <c r="J120" s="131"/>
      <c r="K120" s="131"/>
      <c r="L120" s="131"/>
    </row>
    <row r="121" spans="1:12" x14ac:dyDescent="0.25">
      <c r="A121" s="244" t="s">
        <v>3020</v>
      </c>
      <c r="B121" s="244" t="s">
        <v>1306</v>
      </c>
      <c r="C121" s="244" t="s">
        <v>2956</v>
      </c>
      <c r="D121" s="245" t="s">
        <v>3023</v>
      </c>
      <c r="E121" s="244" t="s">
        <v>473</v>
      </c>
      <c r="F121" s="256">
        <v>41.35</v>
      </c>
      <c r="G121" s="257">
        <v>47.21</v>
      </c>
      <c r="H121" s="257">
        <v>58.98</v>
      </c>
      <c r="I121" s="257">
        <f t="shared" si="2"/>
        <v>2438.8200000000002</v>
      </c>
      <c r="J121" s="131"/>
      <c r="K121" s="131"/>
      <c r="L121" s="131"/>
    </row>
    <row r="122" spans="1:12" ht="22.5" x14ac:dyDescent="0.25">
      <c r="A122" s="244" t="s">
        <v>3022</v>
      </c>
      <c r="B122" s="244" t="s">
        <v>1213</v>
      </c>
      <c r="C122" s="244" t="s">
        <v>2882</v>
      </c>
      <c r="D122" s="245" t="s">
        <v>2959</v>
      </c>
      <c r="E122" s="244" t="s">
        <v>473</v>
      </c>
      <c r="F122" s="256">
        <v>74.349999999999994</v>
      </c>
      <c r="G122" s="257">
        <v>7.23</v>
      </c>
      <c r="H122" s="257">
        <v>9.0299999999999994</v>
      </c>
      <c r="I122" s="257">
        <f t="shared" si="2"/>
        <v>671.38</v>
      </c>
      <c r="J122" s="131"/>
      <c r="K122" s="131"/>
      <c r="L122" s="131"/>
    </row>
    <row r="123" spans="1:12" ht="22.5" x14ac:dyDescent="0.25">
      <c r="A123" s="244" t="s">
        <v>3030</v>
      </c>
      <c r="B123" s="244" t="s">
        <v>1216</v>
      </c>
      <c r="C123" s="244" t="s">
        <v>2882</v>
      </c>
      <c r="D123" s="245" t="s">
        <v>2961</v>
      </c>
      <c r="E123" s="244" t="s">
        <v>473</v>
      </c>
      <c r="F123" s="256">
        <v>74.349999999999994</v>
      </c>
      <c r="G123" s="257">
        <v>7.28</v>
      </c>
      <c r="H123" s="257">
        <v>9.09</v>
      </c>
      <c r="I123" s="257">
        <f t="shared" si="2"/>
        <v>675.84</v>
      </c>
      <c r="J123" s="131"/>
      <c r="K123" s="131"/>
      <c r="L123" s="131"/>
    </row>
    <row r="124" spans="1:12" x14ac:dyDescent="0.25">
      <c r="A124" s="261" t="s">
        <v>3032</v>
      </c>
      <c r="B124" s="261"/>
      <c r="C124" s="261"/>
      <c r="D124" s="262" t="s">
        <v>3033</v>
      </c>
      <c r="E124" s="261"/>
      <c r="F124" s="263"/>
      <c r="G124" s="264"/>
      <c r="H124" s="264"/>
      <c r="I124" s="257">
        <f t="shared" si="2"/>
        <v>0</v>
      </c>
      <c r="J124" s="131"/>
      <c r="K124" s="131"/>
      <c r="L124" s="131"/>
    </row>
    <row r="125" spans="1:12" x14ac:dyDescent="0.25">
      <c r="A125" s="244" t="s">
        <v>3034</v>
      </c>
      <c r="B125" s="244" t="s">
        <v>1303</v>
      </c>
      <c r="C125" s="244" t="s">
        <v>2956</v>
      </c>
      <c r="D125" s="245" t="s">
        <v>3021</v>
      </c>
      <c r="E125" s="244" t="s">
        <v>473</v>
      </c>
      <c r="F125" s="256">
        <v>79.150000000000006</v>
      </c>
      <c r="G125" s="257">
        <v>32.659999999999997</v>
      </c>
      <c r="H125" s="257">
        <v>40.799999999999997</v>
      </c>
      <c r="I125" s="257">
        <f t="shared" si="2"/>
        <v>3229.32</v>
      </c>
      <c r="J125" s="131"/>
      <c r="K125" s="131"/>
      <c r="L125" s="131"/>
    </row>
    <row r="126" spans="1:12" x14ac:dyDescent="0.25">
      <c r="A126" s="244" t="s">
        <v>3035</v>
      </c>
      <c r="B126" s="244" t="s">
        <v>1306</v>
      </c>
      <c r="C126" s="244" t="s">
        <v>2956</v>
      </c>
      <c r="D126" s="245" t="s">
        <v>3023</v>
      </c>
      <c r="E126" s="244" t="s">
        <v>473</v>
      </c>
      <c r="F126" s="256">
        <v>31.65</v>
      </c>
      <c r="G126" s="257">
        <v>47.21</v>
      </c>
      <c r="H126" s="257">
        <v>58.98</v>
      </c>
      <c r="I126" s="257">
        <f t="shared" si="2"/>
        <v>1866.72</v>
      </c>
      <c r="J126" s="131"/>
      <c r="K126" s="131"/>
      <c r="L126" s="131"/>
    </row>
    <row r="127" spans="1:12" ht="22.5" x14ac:dyDescent="0.25">
      <c r="A127" s="244" t="s">
        <v>3036</v>
      </c>
      <c r="B127" s="244" t="s">
        <v>1213</v>
      </c>
      <c r="C127" s="244" t="s">
        <v>2882</v>
      </c>
      <c r="D127" s="245" t="s">
        <v>2959</v>
      </c>
      <c r="E127" s="244" t="s">
        <v>473</v>
      </c>
      <c r="F127" s="256">
        <v>110.8</v>
      </c>
      <c r="G127" s="257">
        <v>7.23</v>
      </c>
      <c r="H127" s="257">
        <v>9.0299999999999994</v>
      </c>
      <c r="I127" s="257">
        <f t="shared" si="2"/>
        <v>1000.52</v>
      </c>
      <c r="J127" s="131"/>
      <c r="K127" s="131"/>
      <c r="L127" s="131"/>
    </row>
    <row r="128" spans="1:12" ht="22.5" x14ac:dyDescent="0.25">
      <c r="A128" s="244" t="s">
        <v>3037</v>
      </c>
      <c r="B128" s="244" t="s">
        <v>1216</v>
      </c>
      <c r="C128" s="244" t="s">
        <v>2882</v>
      </c>
      <c r="D128" s="245" t="s">
        <v>2961</v>
      </c>
      <c r="E128" s="244" t="s">
        <v>473</v>
      </c>
      <c r="F128" s="256">
        <v>110.8</v>
      </c>
      <c r="G128" s="257">
        <v>7.28</v>
      </c>
      <c r="H128" s="257">
        <v>9.09</v>
      </c>
      <c r="I128" s="257">
        <f t="shared" si="2"/>
        <v>1007.17</v>
      </c>
      <c r="J128" s="131"/>
      <c r="K128" s="131"/>
      <c r="L128" s="131"/>
    </row>
    <row r="129" spans="1:12" x14ac:dyDescent="0.25">
      <c r="A129" s="252" t="s">
        <v>3041</v>
      </c>
      <c r="B129" s="252"/>
      <c r="C129" s="252"/>
      <c r="D129" s="253" t="s">
        <v>3042</v>
      </c>
      <c r="E129" s="252"/>
      <c r="F129" s="254"/>
      <c r="G129" s="255"/>
      <c r="H129" s="255"/>
      <c r="I129" s="255">
        <f>SUM(I130:I137)</f>
        <v>10401.640000000001</v>
      </c>
      <c r="J129" s="131"/>
      <c r="K129" s="131"/>
      <c r="L129" s="131"/>
    </row>
    <row r="130" spans="1:12" ht="22.5" x14ac:dyDescent="0.25">
      <c r="A130" s="244" t="s">
        <v>3043</v>
      </c>
      <c r="B130" s="244" t="s">
        <v>1237</v>
      </c>
      <c r="C130" s="244" t="s">
        <v>2882</v>
      </c>
      <c r="D130" s="245" t="s">
        <v>3044</v>
      </c>
      <c r="E130" s="244" t="s">
        <v>1082</v>
      </c>
      <c r="F130" s="256">
        <v>14</v>
      </c>
      <c r="G130" s="257">
        <v>466.74</v>
      </c>
      <c r="H130" s="257">
        <v>583.1</v>
      </c>
      <c r="I130" s="257">
        <f t="shared" si="2"/>
        <v>8163.4</v>
      </c>
      <c r="J130" s="131"/>
      <c r="K130" s="131"/>
      <c r="L130" s="131"/>
    </row>
    <row r="131" spans="1:12" ht="22.5" x14ac:dyDescent="0.25">
      <c r="A131" s="244" t="s">
        <v>3045</v>
      </c>
      <c r="B131" s="244" t="s">
        <v>1225</v>
      </c>
      <c r="C131" s="244" t="s">
        <v>2882</v>
      </c>
      <c r="D131" s="245" t="s">
        <v>3052</v>
      </c>
      <c r="E131" s="244" t="s">
        <v>1082</v>
      </c>
      <c r="F131" s="256">
        <v>21</v>
      </c>
      <c r="G131" s="257">
        <v>12.13</v>
      </c>
      <c r="H131" s="257">
        <v>15.15</v>
      </c>
      <c r="I131" s="257">
        <f t="shared" si="2"/>
        <v>318.14999999999998</v>
      </c>
      <c r="J131" s="131"/>
      <c r="K131" s="131"/>
      <c r="L131" s="131"/>
    </row>
    <row r="132" spans="1:12" ht="22.5" x14ac:dyDescent="0.25">
      <c r="A132" s="244" t="s">
        <v>3047</v>
      </c>
      <c r="B132" s="244" t="s">
        <v>1228</v>
      </c>
      <c r="C132" s="244" t="s">
        <v>2882</v>
      </c>
      <c r="D132" s="245" t="s">
        <v>3054</v>
      </c>
      <c r="E132" s="244" t="s">
        <v>1082</v>
      </c>
      <c r="F132" s="256">
        <v>4</v>
      </c>
      <c r="G132" s="257">
        <v>17.670000000000002</v>
      </c>
      <c r="H132" s="257">
        <v>22.08</v>
      </c>
      <c r="I132" s="257">
        <f t="shared" si="2"/>
        <v>88.32</v>
      </c>
      <c r="J132" s="131"/>
      <c r="K132" s="131"/>
      <c r="L132" s="131"/>
    </row>
    <row r="133" spans="1:12" ht="22.5" x14ac:dyDescent="0.25">
      <c r="A133" s="244" t="s">
        <v>3049</v>
      </c>
      <c r="B133" s="244" t="s">
        <v>1231</v>
      </c>
      <c r="C133" s="244" t="s">
        <v>2882</v>
      </c>
      <c r="D133" s="245" t="s">
        <v>3108</v>
      </c>
      <c r="E133" s="244" t="s">
        <v>1082</v>
      </c>
      <c r="F133" s="256">
        <v>6</v>
      </c>
      <c r="G133" s="257">
        <v>12.02</v>
      </c>
      <c r="H133" s="257">
        <v>15.02</v>
      </c>
      <c r="I133" s="257">
        <f t="shared" si="2"/>
        <v>90.12</v>
      </c>
      <c r="J133" s="131"/>
      <c r="K133" s="131"/>
      <c r="L133" s="131"/>
    </row>
    <row r="134" spans="1:12" ht="22.5" x14ac:dyDescent="0.25">
      <c r="A134" s="244" t="s">
        <v>3051</v>
      </c>
      <c r="B134" s="244" t="s">
        <v>1210</v>
      </c>
      <c r="C134" s="244" t="s">
        <v>2882</v>
      </c>
      <c r="D134" s="245" t="s">
        <v>3058</v>
      </c>
      <c r="E134" s="244" t="s">
        <v>1082</v>
      </c>
      <c r="F134" s="256">
        <v>21</v>
      </c>
      <c r="G134" s="257">
        <v>50.84</v>
      </c>
      <c r="H134" s="257">
        <v>63.51</v>
      </c>
      <c r="I134" s="257">
        <f t="shared" si="2"/>
        <v>1333.71</v>
      </c>
      <c r="J134" s="131"/>
      <c r="K134" s="131"/>
      <c r="L134" s="131"/>
    </row>
    <row r="135" spans="1:12" x14ac:dyDescent="0.25">
      <c r="A135" s="244" t="s">
        <v>3053</v>
      </c>
      <c r="B135" s="244" t="s">
        <v>1279</v>
      </c>
      <c r="C135" s="244" t="s">
        <v>2956</v>
      </c>
      <c r="D135" s="245" t="s">
        <v>3061</v>
      </c>
      <c r="E135" s="244" t="s">
        <v>1082</v>
      </c>
      <c r="F135" s="256">
        <v>14</v>
      </c>
      <c r="G135" s="257">
        <v>12.15</v>
      </c>
      <c r="H135" s="257">
        <v>15.18</v>
      </c>
      <c r="I135" s="257">
        <f t="shared" si="2"/>
        <v>212.52</v>
      </c>
      <c r="J135" s="131"/>
      <c r="K135" s="131"/>
      <c r="L135" s="131"/>
    </row>
    <row r="136" spans="1:12" x14ac:dyDescent="0.25">
      <c r="A136" s="244" t="s">
        <v>3055</v>
      </c>
      <c r="B136" s="244" t="s">
        <v>1282</v>
      </c>
      <c r="C136" s="244" t="s">
        <v>2956</v>
      </c>
      <c r="D136" s="245" t="s">
        <v>3063</v>
      </c>
      <c r="E136" s="244" t="s">
        <v>1082</v>
      </c>
      <c r="F136" s="256">
        <v>4</v>
      </c>
      <c r="G136" s="257">
        <v>16.809999999999999</v>
      </c>
      <c r="H136" s="257">
        <v>21</v>
      </c>
      <c r="I136" s="257">
        <f t="shared" si="2"/>
        <v>84</v>
      </c>
      <c r="J136" s="131"/>
      <c r="K136" s="131"/>
      <c r="L136" s="131"/>
    </row>
    <row r="137" spans="1:12" x14ac:dyDescent="0.25">
      <c r="A137" s="244" t="s">
        <v>3057</v>
      </c>
      <c r="B137" s="244" t="s">
        <v>1369</v>
      </c>
      <c r="C137" s="244" t="s">
        <v>504</v>
      </c>
      <c r="D137" s="245" t="s">
        <v>3109</v>
      </c>
      <c r="E137" s="244" t="s">
        <v>1082</v>
      </c>
      <c r="F137" s="256">
        <v>3</v>
      </c>
      <c r="G137" s="257">
        <v>29.73</v>
      </c>
      <c r="H137" s="257">
        <v>37.14</v>
      </c>
      <c r="I137" s="257">
        <f t="shared" si="2"/>
        <v>111.42</v>
      </c>
      <c r="J137" s="131"/>
      <c r="K137" s="131"/>
      <c r="L137" s="131"/>
    </row>
    <row r="138" spans="1:12" x14ac:dyDescent="0.25">
      <c r="A138" s="252" t="s">
        <v>3068</v>
      </c>
      <c r="B138" s="252"/>
      <c r="C138" s="252"/>
      <c r="D138" s="253" t="s">
        <v>3069</v>
      </c>
      <c r="E138" s="252"/>
      <c r="F138" s="254"/>
      <c r="G138" s="255"/>
      <c r="H138" s="255"/>
      <c r="I138" s="255">
        <f>SUM(I139:I152)</f>
        <v>54268.860000000008</v>
      </c>
      <c r="J138" s="131"/>
      <c r="K138" s="131"/>
      <c r="L138" s="131"/>
    </row>
    <row r="139" spans="1:12" x14ac:dyDescent="0.25">
      <c r="A139" s="244" t="s">
        <v>3110</v>
      </c>
      <c r="B139" s="244" t="s">
        <v>3071</v>
      </c>
      <c r="C139" s="244" t="s">
        <v>2956</v>
      </c>
      <c r="D139" s="245" t="s">
        <v>3072</v>
      </c>
      <c r="E139" s="244" t="s">
        <v>1082</v>
      </c>
      <c r="F139" s="256">
        <v>12</v>
      </c>
      <c r="G139" s="257">
        <v>195.08</v>
      </c>
      <c r="H139" s="257">
        <v>243.71</v>
      </c>
      <c r="I139" s="257">
        <f t="shared" si="2"/>
        <v>2924.52</v>
      </c>
      <c r="J139" s="131"/>
      <c r="K139" s="131"/>
      <c r="L139" s="131"/>
    </row>
    <row r="140" spans="1:12" ht="33.75" x14ac:dyDescent="0.25">
      <c r="A140" s="244" t="s">
        <v>3070</v>
      </c>
      <c r="B140" s="244" t="s">
        <v>3074</v>
      </c>
      <c r="C140" s="244" t="s">
        <v>2882</v>
      </c>
      <c r="D140" s="245" t="s">
        <v>3075</v>
      </c>
      <c r="E140" s="244" t="s">
        <v>1082</v>
      </c>
      <c r="F140" s="256">
        <v>2</v>
      </c>
      <c r="G140" s="257">
        <v>313.45999999999998</v>
      </c>
      <c r="H140" s="257">
        <v>391.61</v>
      </c>
      <c r="I140" s="257">
        <f t="shared" si="2"/>
        <v>783.22</v>
      </c>
      <c r="J140" s="131"/>
      <c r="K140" s="131"/>
      <c r="L140" s="131"/>
    </row>
    <row r="141" spans="1:12" x14ac:dyDescent="0.25">
      <c r="A141" s="244" t="s">
        <v>3073</v>
      </c>
      <c r="B141" s="244" t="s">
        <v>1240</v>
      </c>
      <c r="C141" s="244" t="s">
        <v>2956</v>
      </c>
      <c r="D141" s="245" t="s">
        <v>3077</v>
      </c>
      <c r="E141" s="244" t="s">
        <v>1082</v>
      </c>
      <c r="F141" s="256">
        <v>2</v>
      </c>
      <c r="G141" s="257">
        <v>1878.84</v>
      </c>
      <c r="H141" s="257">
        <v>2347.23</v>
      </c>
      <c r="I141" s="257">
        <f t="shared" si="2"/>
        <v>4694.46</v>
      </c>
      <c r="J141" s="131"/>
      <c r="K141" s="131"/>
      <c r="L141" s="131"/>
    </row>
    <row r="142" spans="1:12" x14ac:dyDescent="0.25">
      <c r="A142" s="244" t="s">
        <v>3076</v>
      </c>
      <c r="B142" s="244" t="s">
        <v>1339</v>
      </c>
      <c r="C142" s="244" t="s">
        <v>2956</v>
      </c>
      <c r="D142" s="245" t="s">
        <v>3079</v>
      </c>
      <c r="E142" s="244" t="s">
        <v>1082</v>
      </c>
      <c r="F142" s="256">
        <v>11</v>
      </c>
      <c r="G142" s="257">
        <v>87.71</v>
      </c>
      <c r="H142" s="257">
        <v>109.58</v>
      </c>
      <c r="I142" s="257">
        <f t="shared" si="2"/>
        <v>1205.3800000000001</v>
      </c>
      <c r="J142" s="131"/>
      <c r="K142" s="131"/>
      <c r="L142" s="131"/>
    </row>
    <row r="143" spans="1:12" ht="22.5" x14ac:dyDescent="0.25">
      <c r="A143" s="244" t="s">
        <v>3078</v>
      </c>
      <c r="B143" s="244" t="s">
        <v>1204</v>
      </c>
      <c r="C143" s="244" t="s">
        <v>2882</v>
      </c>
      <c r="D143" s="245" t="s">
        <v>3081</v>
      </c>
      <c r="E143" s="244" t="s">
        <v>1082</v>
      </c>
      <c r="F143" s="256">
        <v>11</v>
      </c>
      <c r="G143" s="257">
        <v>184.57</v>
      </c>
      <c r="H143" s="257">
        <v>230.58</v>
      </c>
      <c r="I143" s="257">
        <f t="shared" si="2"/>
        <v>2536.38</v>
      </c>
      <c r="J143" s="131"/>
      <c r="K143" s="131"/>
      <c r="L143" s="131"/>
    </row>
    <row r="144" spans="1:12" x14ac:dyDescent="0.25">
      <c r="A144" s="244" t="s">
        <v>3080</v>
      </c>
      <c r="B144" s="244" t="s">
        <v>1255</v>
      </c>
      <c r="C144" s="244" t="s">
        <v>2956</v>
      </c>
      <c r="D144" s="245" t="s">
        <v>3083</v>
      </c>
      <c r="E144" s="244" t="s">
        <v>1082</v>
      </c>
      <c r="F144" s="256">
        <v>12</v>
      </c>
      <c r="G144" s="257">
        <v>58.28</v>
      </c>
      <c r="H144" s="257">
        <v>72.81</v>
      </c>
      <c r="I144" s="257">
        <f t="shared" si="2"/>
        <v>873.72</v>
      </c>
      <c r="J144" s="131"/>
      <c r="K144" s="131"/>
      <c r="L144" s="131"/>
    </row>
    <row r="145" spans="1:12" ht="22.5" x14ac:dyDescent="0.25">
      <c r="A145" s="244" t="s">
        <v>3082</v>
      </c>
      <c r="B145" s="244" t="s">
        <v>3085</v>
      </c>
      <c r="C145" s="244" t="s">
        <v>2956</v>
      </c>
      <c r="D145" s="245" t="s">
        <v>3086</v>
      </c>
      <c r="E145" s="244" t="s">
        <v>1082</v>
      </c>
      <c r="F145" s="256">
        <v>1</v>
      </c>
      <c r="G145" s="257">
        <v>762.68</v>
      </c>
      <c r="H145" s="257">
        <v>952.82</v>
      </c>
      <c r="I145" s="257">
        <f t="shared" si="2"/>
        <v>952.82</v>
      </c>
      <c r="J145" s="131"/>
      <c r="K145" s="131"/>
      <c r="L145" s="131"/>
    </row>
    <row r="146" spans="1:12" x14ac:dyDescent="0.25">
      <c r="A146" s="244" t="s">
        <v>3084</v>
      </c>
      <c r="B146" s="244" t="s">
        <v>1258</v>
      </c>
      <c r="C146" s="244" t="s">
        <v>2956</v>
      </c>
      <c r="D146" s="245" t="s">
        <v>3088</v>
      </c>
      <c r="E146" s="244" t="s">
        <v>1082</v>
      </c>
      <c r="F146" s="256">
        <v>11</v>
      </c>
      <c r="G146" s="257">
        <v>182.59</v>
      </c>
      <c r="H146" s="257">
        <v>228.11</v>
      </c>
      <c r="I146" s="257">
        <f t="shared" si="2"/>
        <v>2509.21</v>
      </c>
      <c r="J146" s="131"/>
      <c r="K146" s="131"/>
      <c r="L146" s="131"/>
    </row>
    <row r="147" spans="1:12" ht="45" x14ac:dyDescent="0.25">
      <c r="A147" s="244" t="s">
        <v>3087</v>
      </c>
      <c r="B147" s="244" t="s">
        <v>3090</v>
      </c>
      <c r="C147" s="244" t="s">
        <v>2882</v>
      </c>
      <c r="D147" s="245" t="s">
        <v>3091</v>
      </c>
      <c r="E147" s="244" t="s">
        <v>1082</v>
      </c>
      <c r="F147" s="256">
        <v>31</v>
      </c>
      <c r="G147" s="257">
        <v>399.47</v>
      </c>
      <c r="H147" s="257">
        <v>499.06</v>
      </c>
      <c r="I147" s="257">
        <f t="shared" si="2"/>
        <v>15470.86</v>
      </c>
      <c r="J147" s="131"/>
      <c r="K147" s="131"/>
      <c r="L147" s="131"/>
    </row>
    <row r="148" spans="1:12" x14ac:dyDescent="0.25">
      <c r="A148" s="244" t="s">
        <v>3089</v>
      </c>
      <c r="B148" s="244" t="s">
        <v>3093</v>
      </c>
      <c r="C148" s="244" t="s">
        <v>2956</v>
      </c>
      <c r="D148" s="245" t="s">
        <v>3094</v>
      </c>
      <c r="E148" s="244" t="s">
        <v>1082</v>
      </c>
      <c r="F148" s="256">
        <v>13</v>
      </c>
      <c r="G148" s="257">
        <v>697.79</v>
      </c>
      <c r="H148" s="257">
        <v>871.75</v>
      </c>
      <c r="I148" s="257">
        <f t="shared" si="2"/>
        <v>11332.75</v>
      </c>
      <c r="J148" s="131"/>
      <c r="K148" s="131"/>
      <c r="L148" s="131"/>
    </row>
    <row r="149" spans="1:12" ht="33.75" x14ac:dyDescent="0.25">
      <c r="A149" s="244" t="s">
        <v>3092</v>
      </c>
      <c r="B149" s="244" t="s">
        <v>3096</v>
      </c>
      <c r="C149" s="244" t="s">
        <v>2882</v>
      </c>
      <c r="D149" s="245" t="s">
        <v>3097</v>
      </c>
      <c r="E149" s="244" t="s">
        <v>1082</v>
      </c>
      <c r="F149" s="256">
        <v>5</v>
      </c>
      <c r="G149" s="257">
        <v>509.25</v>
      </c>
      <c r="H149" s="257">
        <v>636.21</v>
      </c>
      <c r="I149" s="257">
        <f t="shared" si="2"/>
        <v>3181.05</v>
      </c>
      <c r="J149" s="131"/>
      <c r="K149" s="131"/>
      <c r="L149" s="131"/>
    </row>
    <row r="150" spans="1:12" ht="22.5" x14ac:dyDescent="0.25">
      <c r="A150" s="244" t="s">
        <v>3095</v>
      </c>
      <c r="B150" s="244" t="s">
        <v>3099</v>
      </c>
      <c r="C150" s="244" t="s">
        <v>2882</v>
      </c>
      <c r="D150" s="245" t="s">
        <v>3100</v>
      </c>
      <c r="E150" s="244" t="s">
        <v>1082</v>
      </c>
      <c r="F150" s="256">
        <v>13</v>
      </c>
      <c r="G150" s="257">
        <v>65.760000000000005</v>
      </c>
      <c r="H150" s="257">
        <v>82.15</v>
      </c>
      <c r="I150" s="257">
        <f t="shared" si="2"/>
        <v>1067.95</v>
      </c>
      <c r="J150" s="131"/>
      <c r="K150" s="131"/>
      <c r="L150" s="131"/>
    </row>
    <row r="151" spans="1:12" x14ac:dyDescent="0.25">
      <c r="A151" s="244" t="s">
        <v>3098</v>
      </c>
      <c r="B151" s="244" t="s">
        <v>3111</v>
      </c>
      <c r="C151" s="244" t="s">
        <v>2956</v>
      </c>
      <c r="D151" s="245" t="s">
        <v>3112</v>
      </c>
      <c r="E151" s="244" t="s">
        <v>1082</v>
      </c>
      <c r="F151" s="256">
        <v>2</v>
      </c>
      <c r="G151" s="257">
        <v>482.33</v>
      </c>
      <c r="H151" s="257">
        <v>602.57000000000005</v>
      </c>
      <c r="I151" s="257">
        <f t="shared" si="2"/>
        <v>1205.1400000000001</v>
      </c>
      <c r="J151" s="131"/>
      <c r="K151" s="131"/>
      <c r="L151" s="131"/>
    </row>
    <row r="152" spans="1:12" x14ac:dyDescent="0.25">
      <c r="A152" s="244" t="s">
        <v>3113</v>
      </c>
      <c r="B152" s="244" t="s">
        <v>3114</v>
      </c>
      <c r="C152" s="244" t="s">
        <v>2956</v>
      </c>
      <c r="D152" s="245" t="s">
        <v>3115</v>
      </c>
      <c r="E152" s="244" t="s">
        <v>1082</v>
      </c>
      <c r="F152" s="256">
        <v>12</v>
      </c>
      <c r="G152" s="257">
        <v>368.97</v>
      </c>
      <c r="H152" s="257">
        <v>460.95</v>
      </c>
      <c r="I152" s="257">
        <f>ROUND(F152*H152,2)</f>
        <v>5531.4</v>
      </c>
      <c r="J152" s="131"/>
      <c r="K152" s="131"/>
      <c r="L152" s="131"/>
    </row>
    <row r="153" spans="1:12" x14ac:dyDescent="0.25">
      <c r="A153" s="660" t="s">
        <v>2945</v>
      </c>
      <c r="B153" s="660"/>
      <c r="C153" s="660"/>
      <c r="D153" s="250" t="s">
        <v>3116</v>
      </c>
      <c r="E153" s="660"/>
      <c r="F153" s="260"/>
      <c r="G153" s="260"/>
      <c r="H153" s="260"/>
      <c r="I153" s="260"/>
      <c r="J153" s="131"/>
      <c r="K153" s="131"/>
      <c r="L153" s="131"/>
    </row>
    <row r="154" spans="1:12" x14ac:dyDescent="0.25">
      <c r="A154" s="252" t="s">
        <v>2947</v>
      </c>
      <c r="B154" s="252"/>
      <c r="C154" s="252"/>
      <c r="D154" s="253" t="s">
        <v>2948</v>
      </c>
      <c r="E154" s="252"/>
      <c r="F154" s="254"/>
      <c r="G154" s="255"/>
      <c r="H154" s="255"/>
      <c r="I154" s="255">
        <f>SUM(I155:I159)</f>
        <v>6590.21</v>
      </c>
      <c r="J154" s="131"/>
      <c r="K154" s="131"/>
      <c r="L154" s="131"/>
    </row>
    <row r="155" spans="1:12" ht="22.5" x14ac:dyDescent="0.25">
      <c r="A155" s="244" t="s">
        <v>2949</v>
      </c>
      <c r="B155" s="244" t="s">
        <v>1162</v>
      </c>
      <c r="C155" s="244" t="s">
        <v>2882</v>
      </c>
      <c r="D155" s="259" t="s">
        <v>2950</v>
      </c>
      <c r="E155" s="244" t="s">
        <v>473</v>
      </c>
      <c r="F155" s="256">
        <v>97.6</v>
      </c>
      <c r="G155" s="256">
        <v>11.78</v>
      </c>
      <c r="H155" s="256">
        <v>14.72</v>
      </c>
      <c r="I155" s="257">
        <f>ROUND(F155*H155,2)</f>
        <v>1436.67</v>
      </c>
      <c r="J155" s="131"/>
      <c r="K155" s="131"/>
      <c r="L155" s="131"/>
    </row>
    <row r="156" spans="1:12" ht="22.5" x14ac:dyDescent="0.25">
      <c r="A156" s="244" t="s">
        <v>2951</v>
      </c>
      <c r="B156" s="244" t="s">
        <v>1177</v>
      </c>
      <c r="C156" s="244" t="s">
        <v>2882</v>
      </c>
      <c r="D156" s="259" t="s">
        <v>2952</v>
      </c>
      <c r="E156" s="244" t="s">
        <v>473</v>
      </c>
      <c r="F156" s="256">
        <v>90.6</v>
      </c>
      <c r="G156" s="256">
        <v>9.17</v>
      </c>
      <c r="H156" s="256">
        <v>11.46</v>
      </c>
      <c r="I156" s="257">
        <f t="shared" ref="I156:I201" si="3">ROUND(F156*H156,2)</f>
        <v>1038.28</v>
      </c>
      <c r="J156" s="131"/>
      <c r="K156" s="131"/>
      <c r="L156" s="131"/>
    </row>
    <row r="157" spans="1:12" ht="22.5" x14ac:dyDescent="0.25">
      <c r="A157" s="244" t="s">
        <v>2953</v>
      </c>
      <c r="B157" s="244" t="s">
        <v>1180</v>
      </c>
      <c r="C157" s="244" t="s">
        <v>2882</v>
      </c>
      <c r="D157" s="259" t="s">
        <v>2954</v>
      </c>
      <c r="E157" s="244" t="s">
        <v>473</v>
      </c>
      <c r="F157" s="256">
        <v>19.8</v>
      </c>
      <c r="G157" s="256">
        <v>14</v>
      </c>
      <c r="H157" s="256">
        <v>17.489999999999998</v>
      </c>
      <c r="I157" s="257">
        <f t="shared" si="3"/>
        <v>346.3</v>
      </c>
      <c r="J157" s="131"/>
      <c r="K157" s="131"/>
      <c r="L157" s="131"/>
    </row>
    <row r="158" spans="1:12" ht="22.5" x14ac:dyDescent="0.25">
      <c r="A158" s="244" t="s">
        <v>2955</v>
      </c>
      <c r="B158" s="244" t="s">
        <v>1213</v>
      </c>
      <c r="C158" s="244" t="s">
        <v>2882</v>
      </c>
      <c r="D158" s="259" t="s">
        <v>2959</v>
      </c>
      <c r="E158" s="244" t="s">
        <v>473</v>
      </c>
      <c r="F158" s="256">
        <v>208</v>
      </c>
      <c r="G158" s="256">
        <v>7.23</v>
      </c>
      <c r="H158" s="256">
        <v>9.0299999999999994</v>
      </c>
      <c r="I158" s="257">
        <f t="shared" si="3"/>
        <v>1878.24</v>
      </c>
      <c r="J158" s="131"/>
      <c r="K158" s="131"/>
      <c r="L158" s="131"/>
    </row>
    <row r="159" spans="1:12" ht="22.5" x14ac:dyDescent="0.25">
      <c r="A159" s="244" t="s">
        <v>2958</v>
      </c>
      <c r="B159" s="244" t="s">
        <v>1216</v>
      </c>
      <c r="C159" s="244" t="s">
        <v>2882</v>
      </c>
      <c r="D159" s="259" t="s">
        <v>2961</v>
      </c>
      <c r="E159" s="244" t="s">
        <v>473</v>
      </c>
      <c r="F159" s="256">
        <v>208</v>
      </c>
      <c r="G159" s="256">
        <v>7.28</v>
      </c>
      <c r="H159" s="256">
        <v>9.09</v>
      </c>
      <c r="I159" s="257">
        <f t="shared" si="3"/>
        <v>1890.72</v>
      </c>
      <c r="J159" s="131"/>
      <c r="K159" s="131"/>
      <c r="L159" s="131"/>
    </row>
    <row r="160" spans="1:12" x14ac:dyDescent="0.25">
      <c r="A160" s="252" t="s">
        <v>2962</v>
      </c>
      <c r="B160" s="252"/>
      <c r="C160" s="252"/>
      <c r="D160" s="253" t="s">
        <v>2963</v>
      </c>
      <c r="E160" s="252"/>
      <c r="F160" s="254"/>
      <c r="G160" s="255"/>
      <c r="H160" s="255"/>
      <c r="I160" s="255">
        <f>SUM(I161:I174)</f>
        <v>9506.49</v>
      </c>
      <c r="J160" s="131"/>
      <c r="K160" s="131"/>
      <c r="L160" s="131"/>
    </row>
    <row r="161" spans="1:12" x14ac:dyDescent="0.25">
      <c r="A161" s="244" t="s">
        <v>2964</v>
      </c>
      <c r="B161" s="244" t="s">
        <v>1243</v>
      </c>
      <c r="C161" s="244" t="s">
        <v>2956</v>
      </c>
      <c r="D161" s="259" t="s">
        <v>2965</v>
      </c>
      <c r="E161" s="244" t="s">
        <v>1082</v>
      </c>
      <c r="F161" s="256">
        <v>10</v>
      </c>
      <c r="G161" s="256">
        <v>7.54</v>
      </c>
      <c r="H161" s="256">
        <v>9.42</v>
      </c>
      <c r="I161" s="257">
        <f t="shared" si="3"/>
        <v>94.2</v>
      </c>
      <c r="J161" s="131"/>
      <c r="K161" s="131"/>
      <c r="L161" s="131"/>
    </row>
    <row r="162" spans="1:12" x14ac:dyDescent="0.25">
      <c r="A162" s="244" t="s">
        <v>2966</v>
      </c>
      <c r="B162" s="244" t="s">
        <v>1249</v>
      </c>
      <c r="C162" s="244" t="s">
        <v>2956</v>
      </c>
      <c r="D162" s="259" t="s">
        <v>2967</v>
      </c>
      <c r="E162" s="244" t="s">
        <v>1082</v>
      </c>
      <c r="F162" s="256">
        <v>3</v>
      </c>
      <c r="G162" s="256">
        <v>12.51</v>
      </c>
      <c r="H162" s="256">
        <v>15.63</v>
      </c>
      <c r="I162" s="257">
        <f t="shared" si="3"/>
        <v>46.89</v>
      </c>
      <c r="J162" s="131"/>
      <c r="K162" s="131"/>
      <c r="L162" s="131"/>
    </row>
    <row r="163" spans="1:12" ht="22.5" x14ac:dyDescent="0.25">
      <c r="A163" s="244" t="s">
        <v>2968</v>
      </c>
      <c r="B163" s="244" t="s">
        <v>1192</v>
      </c>
      <c r="C163" s="244" t="s">
        <v>2882</v>
      </c>
      <c r="D163" s="259" t="s">
        <v>2973</v>
      </c>
      <c r="E163" s="244" t="s">
        <v>1082</v>
      </c>
      <c r="F163" s="256">
        <v>6</v>
      </c>
      <c r="G163" s="256">
        <v>8.2100000000000009</v>
      </c>
      <c r="H163" s="256">
        <v>10.26</v>
      </c>
      <c r="I163" s="257">
        <f t="shared" si="3"/>
        <v>61.56</v>
      </c>
      <c r="J163" s="131"/>
      <c r="K163" s="131"/>
      <c r="L163" s="131"/>
    </row>
    <row r="164" spans="1:12" ht="22.5" x14ac:dyDescent="0.25">
      <c r="A164" s="244" t="s">
        <v>2970</v>
      </c>
      <c r="B164" s="244" t="s">
        <v>1165</v>
      </c>
      <c r="C164" s="244" t="s">
        <v>2882</v>
      </c>
      <c r="D164" s="259" t="s">
        <v>2975</v>
      </c>
      <c r="E164" s="244" t="s">
        <v>1082</v>
      </c>
      <c r="F164" s="256">
        <v>70</v>
      </c>
      <c r="G164" s="256">
        <v>4.88</v>
      </c>
      <c r="H164" s="256">
        <v>6.1</v>
      </c>
      <c r="I164" s="257">
        <f t="shared" si="3"/>
        <v>427</v>
      </c>
      <c r="J164" s="131"/>
      <c r="K164" s="131"/>
      <c r="L164" s="131"/>
    </row>
    <row r="165" spans="1:12" ht="22.5" x14ac:dyDescent="0.25">
      <c r="A165" s="244" t="s">
        <v>2972</v>
      </c>
      <c r="B165" s="244" t="s">
        <v>1189</v>
      </c>
      <c r="C165" s="244" t="s">
        <v>2882</v>
      </c>
      <c r="D165" s="259" t="s">
        <v>2977</v>
      </c>
      <c r="E165" s="244" t="s">
        <v>1082</v>
      </c>
      <c r="F165" s="256">
        <v>20</v>
      </c>
      <c r="G165" s="256">
        <v>7.18</v>
      </c>
      <c r="H165" s="256">
        <v>8.9700000000000006</v>
      </c>
      <c r="I165" s="257">
        <f t="shared" si="3"/>
        <v>179.4</v>
      </c>
      <c r="J165" s="131"/>
      <c r="K165" s="131"/>
      <c r="L165" s="131"/>
    </row>
    <row r="166" spans="1:12" ht="22.5" x14ac:dyDescent="0.25">
      <c r="A166" s="244" t="s">
        <v>2974</v>
      </c>
      <c r="B166" s="244" t="s">
        <v>1168</v>
      </c>
      <c r="C166" s="244" t="s">
        <v>2882</v>
      </c>
      <c r="D166" s="259" t="s">
        <v>2981</v>
      </c>
      <c r="E166" s="244" t="s">
        <v>1082</v>
      </c>
      <c r="F166" s="256">
        <v>38</v>
      </c>
      <c r="G166" s="256">
        <v>8.65</v>
      </c>
      <c r="H166" s="256">
        <v>10.81</v>
      </c>
      <c r="I166" s="257">
        <f t="shared" si="3"/>
        <v>410.78</v>
      </c>
      <c r="J166" s="131"/>
      <c r="K166" s="131"/>
      <c r="L166" s="131"/>
    </row>
    <row r="167" spans="1:12" x14ac:dyDescent="0.25">
      <c r="A167" s="244" t="s">
        <v>2976</v>
      </c>
      <c r="B167" s="244" t="s">
        <v>2987</v>
      </c>
      <c r="C167" s="244" t="s">
        <v>2882</v>
      </c>
      <c r="D167" s="259" t="s">
        <v>2988</v>
      </c>
      <c r="E167" s="244" t="s">
        <v>1082</v>
      </c>
      <c r="F167" s="256">
        <v>18</v>
      </c>
      <c r="G167" s="256">
        <v>72.569999999999993</v>
      </c>
      <c r="H167" s="256">
        <v>90.66</v>
      </c>
      <c r="I167" s="257">
        <f t="shared" si="3"/>
        <v>1631.88</v>
      </c>
      <c r="J167" s="131"/>
      <c r="K167" s="131"/>
      <c r="L167" s="131"/>
    </row>
    <row r="168" spans="1:12" x14ac:dyDescent="0.25">
      <c r="A168" s="244" t="s">
        <v>2978</v>
      </c>
      <c r="B168" s="244" t="s">
        <v>1273</v>
      </c>
      <c r="C168" s="244" t="s">
        <v>2956</v>
      </c>
      <c r="D168" s="259" t="s">
        <v>2990</v>
      </c>
      <c r="E168" s="244" t="s">
        <v>1082</v>
      </c>
      <c r="F168" s="256">
        <v>3</v>
      </c>
      <c r="G168" s="256">
        <v>108.52</v>
      </c>
      <c r="H168" s="256">
        <v>135.57</v>
      </c>
      <c r="I168" s="257">
        <f t="shared" si="3"/>
        <v>406.71</v>
      </c>
      <c r="J168" s="131"/>
      <c r="K168" s="131"/>
      <c r="L168" s="131"/>
    </row>
    <row r="169" spans="1:12" x14ac:dyDescent="0.25">
      <c r="A169" s="244" t="s">
        <v>2980</v>
      </c>
      <c r="B169" s="244" t="s">
        <v>1294</v>
      </c>
      <c r="C169" s="244" t="s">
        <v>2956</v>
      </c>
      <c r="D169" s="259" t="s">
        <v>2994</v>
      </c>
      <c r="E169" s="244" t="s">
        <v>1082</v>
      </c>
      <c r="F169" s="256">
        <v>14</v>
      </c>
      <c r="G169" s="256">
        <v>14.53</v>
      </c>
      <c r="H169" s="256">
        <v>18.149999999999999</v>
      </c>
      <c r="I169" s="257">
        <f t="shared" si="3"/>
        <v>254.1</v>
      </c>
      <c r="J169" s="131"/>
      <c r="K169" s="131"/>
      <c r="L169" s="131"/>
    </row>
    <row r="170" spans="1:12" x14ac:dyDescent="0.25">
      <c r="A170" s="244" t="s">
        <v>2982</v>
      </c>
      <c r="B170" s="244" t="s">
        <v>1291</v>
      </c>
      <c r="C170" s="244" t="s">
        <v>2956</v>
      </c>
      <c r="D170" s="259" t="s">
        <v>2998</v>
      </c>
      <c r="E170" s="244" t="s">
        <v>1082</v>
      </c>
      <c r="F170" s="256">
        <v>40</v>
      </c>
      <c r="G170" s="256">
        <v>5.99</v>
      </c>
      <c r="H170" s="256">
        <v>7.48</v>
      </c>
      <c r="I170" s="257">
        <f t="shared" si="3"/>
        <v>299.2</v>
      </c>
      <c r="J170" s="131"/>
      <c r="K170" s="131"/>
      <c r="L170" s="131"/>
    </row>
    <row r="171" spans="1:12" ht="22.5" x14ac:dyDescent="0.25">
      <c r="A171" s="244" t="s">
        <v>2984</v>
      </c>
      <c r="B171" s="244" t="s">
        <v>1201</v>
      </c>
      <c r="C171" s="244" t="s">
        <v>2882</v>
      </c>
      <c r="D171" s="259" t="s">
        <v>3000</v>
      </c>
      <c r="E171" s="244" t="s">
        <v>1082</v>
      </c>
      <c r="F171" s="256">
        <v>12</v>
      </c>
      <c r="G171" s="256">
        <v>12.04</v>
      </c>
      <c r="H171" s="256">
        <v>15.04</v>
      </c>
      <c r="I171" s="257">
        <f t="shared" si="3"/>
        <v>180.48</v>
      </c>
      <c r="J171" s="131"/>
      <c r="K171" s="131"/>
      <c r="L171" s="131"/>
    </row>
    <row r="172" spans="1:12" x14ac:dyDescent="0.25">
      <c r="A172" s="244" t="s">
        <v>2986</v>
      </c>
      <c r="B172" s="244" t="s">
        <v>1327</v>
      </c>
      <c r="C172" s="244" t="s">
        <v>2956</v>
      </c>
      <c r="D172" s="259" t="s">
        <v>3002</v>
      </c>
      <c r="E172" s="244" t="s">
        <v>1082</v>
      </c>
      <c r="F172" s="256">
        <v>18</v>
      </c>
      <c r="G172" s="256">
        <v>136.18</v>
      </c>
      <c r="H172" s="256">
        <v>170.13</v>
      </c>
      <c r="I172" s="257">
        <f t="shared" si="3"/>
        <v>3062.34</v>
      </c>
      <c r="J172" s="131"/>
      <c r="K172" s="131"/>
      <c r="L172" s="131"/>
    </row>
    <row r="173" spans="1:12" ht="22.5" x14ac:dyDescent="0.25">
      <c r="A173" s="244" t="s">
        <v>2989</v>
      </c>
      <c r="B173" s="244" t="s">
        <v>1207</v>
      </c>
      <c r="C173" s="244" t="s">
        <v>2882</v>
      </c>
      <c r="D173" s="259" t="s">
        <v>3008</v>
      </c>
      <c r="E173" s="244" t="s">
        <v>1082</v>
      </c>
      <c r="F173" s="256">
        <v>36</v>
      </c>
      <c r="G173" s="256">
        <v>48.35</v>
      </c>
      <c r="H173" s="256">
        <v>60.4</v>
      </c>
      <c r="I173" s="257">
        <f t="shared" si="3"/>
        <v>2174.4</v>
      </c>
      <c r="J173" s="131"/>
      <c r="K173" s="131"/>
      <c r="L173" s="131"/>
    </row>
    <row r="174" spans="1:12" x14ac:dyDescent="0.25">
      <c r="A174" s="244" t="s">
        <v>2991</v>
      </c>
      <c r="B174" s="244" t="s">
        <v>1360</v>
      </c>
      <c r="C174" s="244" t="s">
        <v>504</v>
      </c>
      <c r="D174" s="259" t="s">
        <v>3010</v>
      </c>
      <c r="E174" s="244" t="s">
        <v>1082</v>
      </c>
      <c r="F174" s="256">
        <v>7</v>
      </c>
      <c r="G174" s="256">
        <v>31.74</v>
      </c>
      <c r="H174" s="256">
        <v>39.65</v>
      </c>
      <c r="I174" s="257">
        <f t="shared" si="3"/>
        <v>277.55</v>
      </c>
      <c r="J174" s="131"/>
      <c r="K174" s="131"/>
      <c r="L174" s="131"/>
    </row>
    <row r="175" spans="1:12" x14ac:dyDescent="0.25">
      <c r="A175" s="252" t="s">
        <v>3013</v>
      </c>
      <c r="B175" s="252"/>
      <c r="C175" s="252"/>
      <c r="D175" s="253" t="s">
        <v>3014</v>
      </c>
      <c r="E175" s="252"/>
      <c r="F175" s="254"/>
      <c r="G175" s="255"/>
      <c r="H175" s="255"/>
      <c r="I175" s="255">
        <f>SUM(I176:I186)</f>
        <v>6643.7899999999991</v>
      </c>
      <c r="J175" s="131"/>
      <c r="K175" s="131"/>
      <c r="L175" s="131"/>
    </row>
    <row r="176" spans="1:12" x14ac:dyDescent="0.25">
      <c r="A176" s="261" t="s">
        <v>3015</v>
      </c>
      <c r="B176" s="261"/>
      <c r="C176" s="261"/>
      <c r="D176" s="265" t="s">
        <v>3016</v>
      </c>
      <c r="E176" s="261"/>
      <c r="F176" s="263"/>
      <c r="G176" s="263"/>
      <c r="H176" s="263"/>
      <c r="I176" s="257">
        <f t="shared" si="3"/>
        <v>0</v>
      </c>
      <c r="J176" s="131"/>
      <c r="K176" s="131"/>
      <c r="L176" s="131"/>
    </row>
    <row r="177" spans="1:12" x14ac:dyDescent="0.25">
      <c r="A177" s="244" t="s">
        <v>3017</v>
      </c>
      <c r="B177" s="244" t="s">
        <v>1303</v>
      </c>
      <c r="C177" s="244" t="s">
        <v>2956</v>
      </c>
      <c r="D177" s="259" t="s">
        <v>3021</v>
      </c>
      <c r="E177" s="244" t="s">
        <v>473</v>
      </c>
      <c r="F177" s="256">
        <v>20.57</v>
      </c>
      <c r="G177" s="256">
        <v>32.659999999999997</v>
      </c>
      <c r="H177" s="256">
        <v>40.799999999999997</v>
      </c>
      <c r="I177" s="257">
        <f t="shared" si="3"/>
        <v>839.26</v>
      </c>
      <c r="J177" s="131"/>
      <c r="K177" s="131"/>
      <c r="L177" s="131"/>
    </row>
    <row r="178" spans="1:12" x14ac:dyDescent="0.25">
      <c r="A178" s="244" t="s">
        <v>3020</v>
      </c>
      <c r="B178" s="244" t="s">
        <v>1306</v>
      </c>
      <c r="C178" s="244" t="s">
        <v>2956</v>
      </c>
      <c r="D178" s="259" t="s">
        <v>3023</v>
      </c>
      <c r="E178" s="244" t="s">
        <v>473</v>
      </c>
      <c r="F178" s="256">
        <v>19.8</v>
      </c>
      <c r="G178" s="256">
        <v>47.21</v>
      </c>
      <c r="H178" s="256">
        <v>58.98</v>
      </c>
      <c r="I178" s="257">
        <f t="shared" si="3"/>
        <v>1167.8</v>
      </c>
      <c r="J178" s="131"/>
      <c r="K178" s="131"/>
      <c r="L178" s="131"/>
    </row>
    <row r="179" spans="1:12" x14ac:dyDescent="0.25">
      <c r="A179" s="244" t="s">
        <v>3022</v>
      </c>
      <c r="B179" s="244" t="s">
        <v>1312</v>
      </c>
      <c r="C179" s="244" t="s">
        <v>2956</v>
      </c>
      <c r="D179" s="259" t="s">
        <v>3027</v>
      </c>
      <c r="E179" s="244" t="s">
        <v>473</v>
      </c>
      <c r="F179" s="256">
        <v>17.8</v>
      </c>
      <c r="G179" s="256">
        <v>80.83</v>
      </c>
      <c r="H179" s="256">
        <v>100.98</v>
      </c>
      <c r="I179" s="257">
        <f t="shared" si="3"/>
        <v>1797.44</v>
      </c>
      <c r="J179" s="131"/>
      <c r="K179" s="131"/>
      <c r="L179" s="131"/>
    </row>
    <row r="180" spans="1:12" ht="22.5" x14ac:dyDescent="0.25">
      <c r="A180" s="244" t="s">
        <v>3024</v>
      </c>
      <c r="B180" s="244" t="s">
        <v>1213</v>
      </c>
      <c r="C180" s="244" t="s">
        <v>2882</v>
      </c>
      <c r="D180" s="259" t="s">
        <v>2959</v>
      </c>
      <c r="E180" s="244" t="s">
        <v>473</v>
      </c>
      <c r="F180" s="256">
        <v>58.17</v>
      </c>
      <c r="G180" s="256">
        <v>7.23</v>
      </c>
      <c r="H180" s="256">
        <v>9.0299999999999994</v>
      </c>
      <c r="I180" s="257">
        <f t="shared" si="3"/>
        <v>525.28</v>
      </c>
      <c r="J180" s="131"/>
      <c r="K180" s="131"/>
      <c r="L180" s="131"/>
    </row>
    <row r="181" spans="1:12" ht="22.5" x14ac:dyDescent="0.25">
      <c r="A181" s="244" t="s">
        <v>3026</v>
      </c>
      <c r="B181" s="244" t="s">
        <v>1216</v>
      </c>
      <c r="C181" s="244" t="s">
        <v>2882</v>
      </c>
      <c r="D181" s="259" t="s">
        <v>2961</v>
      </c>
      <c r="E181" s="244" t="s">
        <v>473</v>
      </c>
      <c r="F181" s="256">
        <v>58.17</v>
      </c>
      <c r="G181" s="256">
        <v>7.28</v>
      </c>
      <c r="H181" s="256">
        <v>9.09</v>
      </c>
      <c r="I181" s="257">
        <f t="shared" si="3"/>
        <v>528.77</v>
      </c>
      <c r="J181" s="131"/>
      <c r="K181" s="131"/>
      <c r="L181" s="131"/>
    </row>
    <row r="182" spans="1:12" x14ac:dyDescent="0.25">
      <c r="A182" s="261" t="s">
        <v>3032</v>
      </c>
      <c r="B182" s="261"/>
      <c r="C182" s="261"/>
      <c r="D182" s="265" t="s">
        <v>3033</v>
      </c>
      <c r="E182" s="261"/>
      <c r="F182" s="263"/>
      <c r="G182" s="263"/>
      <c r="H182" s="263"/>
      <c r="I182" s="257">
        <f t="shared" si="3"/>
        <v>0</v>
      </c>
      <c r="J182" s="131"/>
      <c r="K182" s="131"/>
      <c r="L182" s="131"/>
    </row>
    <row r="183" spans="1:12" x14ac:dyDescent="0.25">
      <c r="A183" s="244" t="s">
        <v>3034</v>
      </c>
      <c r="B183" s="244" t="s">
        <v>1303</v>
      </c>
      <c r="C183" s="244" t="s">
        <v>2956</v>
      </c>
      <c r="D183" s="259" t="s">
        <v>3021</v>
      </c>
      <c r="E183" s="244" t="s">
        <v>473</v>
      </c>
      <c r="F183" s="256">
        <v>4.3899999999999997</v>
      </c>
      <c r="G183" s="256">
        <v>32.659999999999997</v>
      </c>
      <c r="H183" s="256">
        <v>40.799999999999997</v>
      </c>
      <c r="I183" s="257">
        <f t="shared" si="3"/>
        <v>179.11</v>
      </c>
      <c r="J183" s="131"/>
      <c r="K183" s="131"/>
      <c r="L183" s="131"/>
    </row>
    <row r="184" spans="1:12" x14ac:dyDescent="0.25">
      <c r="A184" s="244" t="s">
        <v>3035</v>
      </c>
      <c r="B184" s="244" t="s">
        <v>1306</v>
      </c>
      <c r="C184" s="244" t="s">
        <v>2956</v>
      </c>
      <c r="D184" s="259" t="s">
        <v>3023</v>
      </c>
      <c r="E184" s="244" t="s">
        <v>473</v>
      </c>
      <c r="F184" s="256">
        <v>19.8</v>
      </c>
      <c r="G184" s="256">
        <v>47.21</v>
      </c>
      <c r="H184" s="256">
        <v>58.98</v>
      </c>
      <c r="I184" s="257">
        <f t="shared" si="3"/>
        <v>1167.8</v>
      </c>
      <c r="J184" s="131"/>
      <c r="K184" s="131"/>
      <c r="L184" s="131"/>
    </row>
    <row r="185" spans="1:12" ht="22.5" x14ac:dyDescent="0.25">
      <c r="A185" s="244" t="s">
        <v>3036</v>
      </c>
      <c r="B185" s="244" t="s">
        <v>1213</v>
      </c>
      <c r="C185" s="244" t="s">
        <v>2882</v>
      </c>
      <c r="D185" s="259" t="s">
        <v>2959</v>
      </c>
      <c r="E185" s="244" t="s">
        <v>473</v>
      </c>
      <c r="F185" s="256">
        <v>24.19</v>
      </c>
      <c r="G185" s="256">
        <v>7.23</v>
      </c>
      <c r="H185" s="256">
        <v>9.0299999999999994</v>
      </c>
      <c r="I185" s="257">
        <f t="shared" si="3"/>
        <v>218.44</v>
      </c>
      <c r="J185" s="131"/>
      <c r="K185" s="131"/>
      <c r="L185" s="131"/>
    </row>
    <row r="186" spans="1:12" ht="22.5" x14ac:dyDescent="0.25">
      <c r="A186" s="244" t="s">
        <v>3037</v>
      </c>
      <c r="B186" s="244" t="s">
        <v>1216</v>
      </c>
      <c r="C186" s="244" t="s">
        <v>2882</v>
      </c>
      <c r="D186" s="259" t="s">
        <v>2961</v>
      </c>
      <c r="E186" s="244" t="s">
        <v>473</v>
      </c>
      <c r="F186" s="256">
        <v>24.19</v>
      </c>
      <c r="G186" s="256">
        <v>7.28</v>
      </c>
      <c r="H186" s="256">
        <v>9.09</v>
      </c>
      <c r="I186" s="257">
        <f t="shared" si="3"/>
        <v>219.89</v>
      </c>
      <c r="J186" s="131"/>
      <c r="K186" s="131"/>
      <c r="L186" s="131"/>
    </row>
    <row r="187" spans="1:12" x14ac:dyDescent="0.25">
      <c r="A187" s="252" t="s">
        <v>3041</v>
      </c>
      <c r="B187" s="252"/>
      <c r="C187" s="252"/>
      <c r="D187" s="253" t="s">
        <v>3042</v>
      </c>
      <c r="E187" s="252"/>
      <c r="F187" s="254"/>
      <c r="G187" s="255"/>
      <c r="H187" s="255"/>
      <c r="I187" s="255">
        <f>SUM(I188:I190)</f>
        <v>1222.8</v>
      </c>
      <c r="J187" s="131"/>
      <c r="K187" s="131"/>
      <c r="L187" s="131"/>
    </row>
    <row r="188" spans="1:12" ht="22.5" x14ac:dyDescent="0.25">
      <c r="A188" s="244" t="s">
        <v>3043</v>
      </c>
      <c r="B188" s="244" t="s">
        <v>1225</v>
      </c>
      <c r="C188" s="244" t="s">
        <v>2882</v>
      </c>
      <c r="D188" s="259" t="s">
        <v>3052</v>
      </c>
      <c r="E188" s="244" t="s">
        <v>1082</v>
      </c>
      <c r="F188" s="256">
        <v>10</v>
      </c>
      <c r="G188" s="256">
        <v>12.13</v>
      </c>
      <c r="H188" s="256">
        <v>15.15</v>
      </c>
      <c r="I188" s="257">
        <f t="shared" si="3"/>
        <v>151.5</v>
      </c>
      <c r="J188" s="131"/>
      <c r="K188" s="131"/>
      <c r="L188" s="131"/>
    </row>
    <row r="189" spans="1:12" ht="22.5" x14ac:dyDescent="0.25">
      <c r="A189" s="244" t="s">
        <v>3045</v>
      </c>
      <c r="B189" s="244" t="s">
        <v>1210</v>
      </c>
      <c r="C189" s="244" t="s">
        <v>2882</v>
      </c>
      <c r="D189" s="259" t="s">
        <v>3058</v>
      </c>
      <c r="E189" s="244" t="s">
        <v>1082</v>
      </c>
      <c r="F189" s="256">
        <v>14</v>
      </c>
      <c r="G189" s="256">
        <v>50.84</v>
      </c>
      <c r="H189" s="256">
        <v>63.51</v>
      </c>
      <c r="I189" s="257">
        <f t="shared" si="3"/>
        <v>889.14</v>
      </c>
      <c r="J189" s="131"/>
      <c r="K189" s="131"/>
      <c r="L189" s="131"/>
    </row>
    <row r="190" spans="1:12" x14ac:dyDescent="0.25">
      <c r="A190" s="244" t="s">
        <v>3047</v>
      </c>
      <c r="B190" s="244" t="s">
        <v>1279</v>
      </c>
      <c r="C190" s="244" t="s">
        <v>2956</v>
      </c>
      <c r="D190" s="259" t="s">
        <v>3061</v>
      </c>
      <c r="E190" s="244" t="s">
        <v>1082</v>
      </c>
      <c r="F190" s="256">
        <v>12</v>
      </c>
      <c r="G190" s="256">
        <v>12.15</v>
      </c>
      <c r="H190" s="256">
        <v>15.18</v>
      </c>
      <c r="I190" s="257">
        <f t="shared" si="3"/>
        <v>182.16</v>
      </c>
      <c r="J190" s="131"/>
      <c r="K190" s="131"/>
      <c r="L190" s="131"/>
    </row>
    <row r="191" spans="1:12" x14ac:dyDescent="0.25">
      <c r="A191" s="252" t="s">
        <v>3068</v>
      </c>
      <c r="B191" s="252"/>
      <c r="C191" s="252"/>
      <c r="D191" s="253" t="s">
        <v>3069</v>
      </c>
      <c r="E191" s="252"/>
      <c r="F191" s="254"/>
      <c r="G191" s="255"/>
      <c r="H191" s="255"/>
      <c r="I191" s="255">
        <f>SUM(I192:I201)</f>
        <v>35041.409999999996</v>
      </c>
      <c r="J191" s="131"/>
      <c r="K191" s="131"/>
      <c r="L191" s="131"/>
    </row>
    <row r="192" spans="1:12" x14ac:dyDescent="0.25">
      <c r="A192" s="244" t="s">
        <v>3110</v>
      </c>
      <c r="B192" s="244" t="s">
        <v>3071</v>
      </c>
      <c r="C192" s="244" t="s">
        <v>2956</v>
      </c>
      <c r="D192" s="259" t="s">
        <v>3072</v>
      </c>
      <c r="E192" s="244" t="s">
        <v>1082</v>
      </c>
      <c r="F192" s="256">
        <v>13</v>
      </c>
      <c r="G192" s="256">
        <v>195.08</v>
      </c>
      <c r="H192" s="256">
        <v>243.71</v>
      </c>
      <c r="I192" s="257">
        <f t="shared" si="3"/>
        <v>3168.23</v>
      </c>
      <c r="J192" s="131"/>
      <c r="K192" s="131"/>
      <c r="L192" s="131"/>
    </row>
    <row r="193" spans="1:12" ht="33.75" x14ac:dyDescent="0.25">
      <c r="A193" s="244" t="s">
        <v>3070</v>
      </c>
      <c r="B193" s="244" t="s">
        <v>3074</v>
      </c>
      <c r="C193" s="244" t="s">
        <v>2882</v>
      </c>
      <c r="D193" s="259" t="s">
        <v>3075</v>
      </c>
      <c r="E193" s="244" t="s">
        <v>1082</v>
      </c>
      <c r="F193" s="256">
        <v>6</v>
      </c>
      <c r="G193" s="256">
        <v>313.45999999999998</v>
      </c>
      <c r="H193" s="256">
        <v>391.61</v>
      </c>
      <c r="I193" s="257">
        <f t="shared" si="3"/>
        <v>2349.66</v>
      </c>
      <c r="J193" s="131"/>
      <c r="K193" s="131"/>
      <c r="L193" s="131"/>
    </row>
    <row r="194" spans="1:12" x14ac:dyDescent="0.25">
      <c r="A194" s="244" t="s">
        <v>3073</v>
      </c>
      <c r="B194" s="244" t="s">
        <v>1339</v>
      </c>
      <c r="C194" s="244" t="s">
        <v>2956</v>
      </c>
      <c r="D194" s="259" t="s">
        <v>3079</v>
      </c>
      <c r="E194" s="244" t="s">
        <v>1082</v>
      </c>
      <c r="F194" s="256">
        <v>14</v>
      </c>
      <c r="G194" s="256">
        <v>87.71</v>
      </c>
      <c r="H194" s="256">
        <v>109.58</v>
      </c>
      <c r="I194" s="257">
        <f t="shared" si="3"/>
        <v>1534.12</v>
      </c>
      <c r="J194" s="131"/>
      <c r="K194" s="131"/>
      <c r="L194" s="131"/>
    </row>
    <row r="195" spans="1:12" ht="22.5" x14ac:dyDescent="0.25">
      <c r="A195" s="244" t="s">
        <v>3076</v>
      </c>
      <c r="B195" s="244" t="s">
        <v>1204</v>
      </c>
      <c r="C195" s="244" t="s">
        <v>2882</v>
      </c>
      <c r="D195" s="259" t="s">
        <v>3081</v>
      </c>
      <c r="E195" s="244" t="s">
        <v>1082</v>
      </c>
      <c r="F195" s="256">
        <v>13</v>
      </c>
      <c r="G195" s="256">
        <v>184.57</v>
      </c>
      <c r="H195" s="256">
        <v>230.58</v>
      </c>
      <c r="I195" s="257">
        <f t="shared" si="3"/>
        <v>2997.54</v>
      </c>
      <c r="J195" s="131"/>
      <c r="K195" s="131"/>
      <c r="L195" s="131"/>
    </row>
    <row r="196" spans="1:12" x14ac:dyDescent="0.25">
      <c r="A196" s="244" t="s">
        <v>3078</v>
      </c>
      <c r="B196" s="244" t="s">
        <v>1255</v>
      </c>
      <c r="C196" s="244" t="s">
        <v>2956</v>
      </c>
      <c r="D196" s="259" t="s">
        <v>3083</v>
      </c>
      <c r="E196" s="244" t="s">
        <v>1082</v>
      </c>
      <c r="F196" s="256">
        <v>11</v>
      </c>
      <c r="G196" s="256">
        <v>58.28</v>
      </c>
      <c r="H196" s="256">
        <v>72.81</v>
      </c>
      <c r="I196" s="257">
        <f t="shared" si="3"/>
        <v>800.91</v>
      </c>
      <c r="J196" s="131"/>
      <c r="K196" s="131"/>
      <c r="L196" s="131"/>
    </row>
    <row r="197" spans="1:12" ht="22.5" x14ac:dyDescent="0.25">
      <c r="A197" s="244" t="s">
        <v>3080</v>
      </c>
      <c r="B197" s="244" t="s">
        <v>3085</v>
      </c>
      <c r="C197" s="244" t="s">
        <v>2956</v>
      </c>
      <c r="D197" s="259" t="s">
        <v>3086</v>
      </c>
      <c r="E197" s="244" t="s">
        <v>1082</v>
      </c>
      <c r="F197" s="256">
        <v>2</v>
      </c>
      <c r="G197" s="256">
        <v>762.68</v>
      </c>
      <c r="H197" s="256">
        <v>952.82</v>
      </c>
      <c r="I197" s="257">
        <f t="shared" si="3"/>
        <v>1905.64</v>
      </c>
      <c r="J197" s="131"/>
      <c r="K197" s="131"/>
      <c r="L197" s="131"/>
    </row>
    <row r="198" spans="1:12" ht="45" x14ac:dyDescent="0.25">
      <c r="A198" s="244" t="s">
        <v>3082</v>
      </c>
      <c r="B198" s="244" t="s">
        <v>3090</v>
      </c>
      <c r="C198" s="244" t="s">
        <v>2882</v>
      </c>
      <c r="D198" s="259" t="s">
        <v>3091</v>
      </c>
      <c r="E198" s="244" t="s">
        <v>1082</v>
      </c>
      <c r="F198" s="256">
        <v>30</v>
      </c>
      <c r="G198" s="256">
        <v>399.47</v>
      </c>
      <c r="H198" s="256">
        <v>499.06</v>
      </c>
      <c r="I198" s="257">
        <f t="shared" si="3"/>
        <v>14971.8</v>
      </c>
      <c r="J198" s="131"/>
      <c r="K198" s="131"/>
      <c r="L198" s="131"/>
    </row>
    <row r="199" spans="1:12" x14ac:dyDescent="0.25">
      <c r="A199" s="244" t="s">
        <v>3084</v>
      </c>
      <c r="B199" s="244" t="s">
        <v>3093</v>
      </c>
      <c r="C199" s="244" t="s">
        <v>2956</v>
      </c>
      <c r="D199" s="259" t="s">
        <v>3094</v>
      </c>
      <c r="E199" s="244" t="s">
        <v>1082</v>
      </c>
      <c r="F199" s="256">
        <v>7</v>
      </c>
      <c r="G199" s="256">
        <v>697.79</v>
      </c>
      <c r="H199" s="256">
        <v>871.75</v>
      </c>
      <c r="I199" s="257">
        <f t="shared" si="3"/>
        <v>6102.25</v>
      </c>
      <c r="J199" s="131"/>
      <c r="K199" s="131"/>
      <c r="L199" s="131"/>
    </row>
    <row r="200" spans="1:12" ht="33.75" x14ac:dyDescent="0.25">
      <c r="A200" s="244" t="s">
        <v>3087</v>
      </c>
      <c r="B200" s="244" t="s">
        <v>3096</v>
      </c>
      <c r="C200" s="244" t="s">
        <v>2882</v>
      </c>
      <c r="D200" s="259" t="s">
        <v>3097</v>
      </c>
      <c r="E200" s="244" t="s">
        <v>1082</v>
      </c>
      <c r="F200" s="256">
        <v>1</v>
      </c>
      <c r="G200" s="256">
        <v>509.25</v>
      </c>
      <c r="H200" s="256">
        <v>636.21</v>
      </c>
      <c r="I200" s="257">
        <f t="shared" si="3"/>
        <v>636.21</v>
      </c>
      <c r="J200" s="131"/>
      <c r="K200" s="131"/>
      <c r="L200" s="131"/>
    </row>
    <row r="201" spans="1:12" ht="22.5" x14ac:dyDescent="0.25">
      <c r="A201" s="244" t="s">
        <v>3089</v>
      </c>
      <c r="B201" s="244" t="s">
        <v>3099</v>
      </c>
      <c r="C201" s="244" t="s">
        <v>2882</v>
      </c>
      <c r="D201" s="259" t="s">
        <v>3100</v>
      </c>
      <c r="E201" s="244" t="s">
        <v>1082</v>
      </c>
      <c r="F201" s="256">
        <v>7</v>
      </c>
      <c r="G201" s="256">
        <v>65.760000000000005</v>
      </c>
      <c r="H201" s="256">
        <v>82.15</v>
      </c>
      <c r="I201" s="257">
        <f t="shared" si="3"/>
        <v>575.04999999999995</v>
      </c>
      <c r="J201" s="131"/>
      <c r="K201" s="131"/>
      <c r="L201" s="131"/>
    </row>
    <row r="202" spans="1:12" x14ac:dyDescent="0.25">
      <c r="A202" s="660" t="s">
        <v>2945</v>
      </c>
      <c r="B202" s="660"/>
      <c r="C202" s="660"/>
      <c r="D202" s="250" t="s">
        <v>3117</v>
      </c>
      <c r="E202" s="660"/>
      <c r="F202" s="260"/>
      <c r="G202" s="260"/>
      <c r="H202" s="260"/>
      <c r="I202" s="260"/>
      <c r="J202" s="131"/>
      <c r="K202" s="131"/>
      <c r="L202" s="131"/>
    </row>
    <row r="203" spans="1:12" x14ac:dyDescent="0.25">
      <c r="A203" s="252" t="s">
        <v>2947</v>
      </c>
      <c r="B203" s="252"/>
      <c r="C203" s="252"/>
      <c r="D203" s="253" t="s">
        <v>2948</v>
      </c>
      <c r="E203" s="252"/>
      <c r="F203" s="254"/>
      <c r="G203" s="255"/>
      <c r="H203" s="255"/>
      <c r="I203" s="255">
        <f>SUM(I204:I208)</f>
        <v>6018.11</v>
      </c>
      <c r="J203" s="131"/>
      <c r="K203" s="131"/>
      <c r="L203" s="131"/>
    </row>
    <row r="204" spans="1:12" ht="22.5" x14ac:dyDescent="0.25">
      <c r="A204" s="244" t="s">
        <v>2949</v>
      </c>
      <c r="B204" s="244" t="s">
        <v>1162</v>
      </c>
      <c r="C204" s="244" t="s">
        <v>2882</v>
      </c>
      <c r="D204" s="245" t="s">
        <v>2950</v>
      </c>
      <c r="E204" s="244" t="s">
        <v>473</v>
      </c>
      <c r="F204" s="256">
        <v>92.38</v>
      </c>
      <c r="G204" s="256">
        <v>11.78</v>
      </c>
      <c r="H204" s="256">
        <v>14.72</v>
      </c>
      <c r="I204" s="257">
        <f>ROUND(F204*H204,2)</f>
        <v>1359.83</v>
      </c>
      <c r="J204" s="131"/>
      <c r="K204" s="131"/>
      <c r="L204" s="131"/>
    </row>
    <row r="205" spans="1:12" ht="22.5" x14ac:dyDescent="0.25">
      <c r="A205" s="244" t="s">
        <v>2951</v>
      </c>
      <c r="B205" s="244" t="s">
        <v>1177</v>
      </c>
      <c r="C205" s="244" t="s">
        <v>2882</v>
      </c>
      <c r="D205" s="245" t="s">
        <v>2952</v>
      </c>
      <c r="E205" s="244" t="s">
        <v>473</v>
      </c>
      <c r="F205" s="256">
        <v>55.12</v>
      </c>
      <c r="G205" s="256">
        <v>9.17</v>
      </c>
      <c r="H205" s="256">
        <v>11.46</v>
      </c>
      <c r="I205" s="257">
        <f t="shared" ref="I205:I259" si="4">ROUND(F205*H205,2)</f>
        <v>631.67999999999995</v>
      </c>
      <c r="J205" s="131"/>
      <c r="K205" s="131"/>
      <c r="L205" s="131"/>
    </row>
    <row r="206" spans="1:12" ht="22.5" x14ac:dyDescent="0.25">
      <c r="A206" s="244" t="s">
        <v>2953</v>
      </c>
      <c r="B206" s="244" t="s">
        <v>1180</v>
      </c>
      <c r="C206" s="244" t="s">
        <v>2882</v>
      </c>
      <c r="D206" s="245" t="s">
        <v>2954</v>
      </c>
      <c r="E206" s="244" t="s">
        <v>473</v>
      </c>
      <c r="F206" s="256">
        <v>38.020000000000003</v>
      </c>
      <c r="G206" s="256">
        <v>14</v>
      </c>
      <c r="H206" s="256">
        <v>17.489999999999998</v>
      </c>
      <c r="I206" s="257">
        <f t="shared" si="4"/>
        <v>664.97</v>
      </c>
      <c r="J206" s="131"/>
      <c r="K206" s="131"/>
      <c r="L206" s="131"/>
    </row>
    <row r="207" spans="1:12" ht="22.5" x14ac:dyDescent="0.25">
      <c r="A207" s="244" t="s">
        <v>2958</v>
      </c>
      <c r="B207" s="244" t="s">
        <v>1213</v>
      </c>
      <c r="C207" s="244" t="s">
        <v>2882</v>
      </c>
      <c r="D207" s="245" t="s">
        <v>2959</v>
      </c>
      <c r="E207" s="244" t="s">
        <v>473</v>
      </c>
      <c r="F207" s="256">
        <v>185.52</v>
      </c>
      <c r="G207" s="256">
        <v>7.23</v>
      </c>
      <c r="H207" s="256">
        <v>9.0299999999999994</v>
      </c>
      <c r="I207" s="257">
        <f t="shared" si="4"/>
        <v>1675.25</v>
      </c>
      <c r="J207" s="131"/>
      <c r="K207" s="131"/>
      <c r="L207" s="131"/>
    </row>
    <row r="208" spans="1:12" ht="22.5" x14ac:dyDescent="0.25">
      <c r="A208" s="244" t="s">
        <v>2960</v>
      </c>
      <c r="B208" s="244" t="s">
        <v>1216</v>
      </c>
      <c r="C208" s="244" t="s">
        <v>2882</v>
      </c>
      <c r="D208" s="245" t="s">
        <v>2961</v>
      </c>
      <c r="E208" s="244" t="s">
        <v>473</v>
      </c>
      <c r="F208" s="256">
        <v>185.52</v>
      </c>
      <c r="G208" s="256">
        <v>7.28</v>
      </c>
      <c r="H208" s="256">
        <v>9.09</v>
      </c>
      <c r="I208" s="257">
        <f t="shared" si="4"/>
        <v>1686.38</v>
      </c>
      <c r="J208" s="131"/>
      <c r="K208" s="131"/>
      <c r="L208" s="131"/>
    </row>
    <row r="209" spans="1:12" x14ac:dyDescent="0.25">
      <c r="A209" s="252" t="s">
        <v>2962</v>
      </c>
      <c r="B209" s="252"/>
      <c r="C209" s="252"/>
      <c r="D209" s="253" t="s">
        <v>2963</v>
      </c>
      <c r="E209" s="252"/>
      <c r="F209" s="254"/>
      <c r="G209" s="255"/>
      <c r="H209" s="255"/>
      <c r="I209" s="255">
        <f>SUM(I210:I228)</f>
        <v>7501.93</v>
      </c>
      <c r="J209" s="131"/>
      <c r="K209" s="131"/>
      <c r="L209" s="131"/>
    </row>
    <row r="210" spans="1:12" x14ac:dyDescent="0.25">
      <c r="A210" s="244" t="s">
        <v>2964</v>
      </c>
      <c r="B210" s="244" t="s">
        <v>1243</v>
      </c>
      <c r="C210" s="244" t="s">
        <v>2956</v>
      </c>
      <c r="D210" s="245" t="s">
        <v>2965</v>
      </c>
      <c r="E210" s="244" t="s">
        <v>1082</v>
      </c>
      <c r="F210" s="256">
        <v>2</v>
      </c>
      <c r="G210" s="256">
        <v>7.54</v>
      </c>
      <c r="H210" s="256">
        <v>9.42</v>
      </c>
      <c r="I210" s="257">
        <f t="shared" si="4"/>
        <v>18.84</v>
      </c>
      <c r="J210" s="131"/>
      <c r="K210" s="131"/>
      <c r="L210" s="131"/>
    </row>
    <row r="211" spans="1:12" ht="22.5" x14ac:dyDescent="0.25">
      <c r="A211" s="244" t="s">
        <v>2970</v>
      </c>
      <c r="B211" s="244" t="s">
        <v>1186</v>
      </c>
      <c r="C211" s="244" t="s">
        <v>2882</v>
      </c>
      <c r="D211" s="245" t="s">
        <v>2971</v>
      </c>
      <c r="E211" s="244" t="s">
        <v>1082</v>
      </c>
      <c r="F211" s="256">
        <v>1</v>
      </c>
      <c r="G211" s="256">
        <v>2.99</v>
      </c>
      <c r="H211" s="256">
        <v>3.74</v>
      </c>
      <c r="I211" s="257">
        <f t="shared" si="4"/>
        <v>3.74</v>
      </c>
      <c r="J211" s="131"/>
      <c r="K211" s="131"/>
      <c r="L211" s="131"/>
    </row>
    <row r="212" spans="1:12" ht="22.5" x14ac:dyDescent="0.25">
      <c r="A212" s="244" t="s">
        <v>2972</v>
      </c>
      <c r="B212" s="244" t="s">
        <v>1192</v>
      </c>
      <c r="C212" s="244" t="s">
        <v>2882</v>
      </c>
      <c r="D212" s="245" t="s">
        <v>2973</v>
      </c>
      <c r="E212" s="244" t="s">
        <v>1082</v>
      </c>
      <c r="F212" s="256">
        <v>1</v>
      </c>
      <c r="G212" s="256">
        <v>8.2100000000000009</v>
      </c>
      <c r="H212" s="256">
        <v>10.26</v>
      </c>
      <c r="I212" s="257">
        <f t="shared" si="4"/>
        <v>10.26</v>
      </c>
      <c r="J212" s="131"/>
      <c r="K212" s="131"/>
      <c r="L212" s="131"/>
    </row>
    <row r="213" spans="1:12" ht="22.5" x14ac:dyDescent="0.25">
      <c r="A213" s="244" t="s">
        <v>2974</v>
      </c>
      <c r="B213" s="244" t="s">
        <v>1165</v>
      </c>
      <c r="C213" s="244" t="s">
        <v>2882</v>
      </c>
      <c r="D213" s="245" t="s">
        <v>2975</v>
      </c>
      <c r="E213" s="244" t="s">
        <v>1082</v>
      </c>
      <c r="F213" s="256">
        <v>25</v>
      </c>
      <c r="G213" s="256">
        <v>4.88</v>
      </c>
      <c r="H213" s="256">
        <v>6.1</v>
      </c>
      <c r="I213" s="257">
        <f t="shared" si="4"/>
        <v>152.5</v>
      </c>
      <c r="J213" s="131"/>
      <c r="K213" s="131"/>
      <c r="L213" s="131"/>
    </row>
    <row r="214" spans="1:12" ht="22.5" x14ac:dyDescent="0.25">
      <c r="A214" s="244" t="s">
        <v>2976</v>
      </c>
      <c r="B214" s="244" t="s">
        <v>1189</v>
      </c>
      <c r="C214" s="244" t="s">
        <v>2882</v>
      </c>
      <c r="D214" s="245" t="s">
        <v>2977</v>
      </c>
      <c r="E214" s="244" t="s">
        <v>1082</v>
      </c>
      <c r="F214" s="256">
        <v>5</v>
      </c>
      <c r="G214" s="256">
        <v>7.18</v>
      </c>
      <c r="H214" s="256">
        <v>8.9700000000000006</v>
      </c>
      <c r="I214" s="257">
        <f t="shared" si="4"/>
        <v>44.85</v>
      </c>
      <c r="J214" s="131"/>
      <c r="K214" s="131"/>
      <c r="L214" s="131"/>
    </row>
    <row r="215" spans="1:12" ht="22.5" x14ac:dyDescent="0.25">
      <c r="A215" s="244" t="s">
        <v>2978</v>
      </c>
      <c r="B215" s="244" t="s">
        <v>1195</v>
      </c>
      <c r="C215" s="244" t="s">
        <v>2882</v>
      </c>
      <c r="D215" s="245" t="s">
        <v>2979</v>
      </c>
      <c r="E215" s="244" t="s">
        <v>1082</v>
      </c>
      <c r="F215" s="256">
        <v>2</v>
      </c>
      <c r="G215" s="256">
        <v>19.350000000000001</v>
      </c>
      <c r="H215" s="256">
        <v>24.17</v>
      </c>
      <c r="I215" s="257">
        <f t="shared" si="4"/>
        <v>48.34</v>
      </c>
      <c r="J215" s="131"/>
      <c r="K215" s="131"/>
      <c r="L215" s="131"/>
    </row>
    <row r="216" spans="1:12" ht="22.5" x14ac:dyDescent="0.25">
      <c r="A216" s="244" t="s">
        <v>2980</v>
      </c>
      <c r="B216" s="244" t="s">
        <v>1168</v>
      </c>
      <c r="C216" s="244" t="s">
        <v>2882</v>
      </c>
      <c r="D216" s="245" t="s">
        <v>2981</v>
      </c>
      <c r="E216" s="244" t="s">
        <v>1082</v>
      </c>
      <c r="F216" s="256">
        <v>25</v>
      </c>
      <c r="G216" s="256">
        <v>8.65</v>
      </c>
      <c r="H216" s="256">
        <v>10.81</v>
      </c>
      <c r="I216" s="257">
        <f t="shared" si="4"/>
        <v>270.25</v>
      </c>
      <c r="J216" s="131"/>
      <c r="K216" s="131"/>
      <c r="L216" s="131"/>
    </row>
    <row r="217" spans="1:12" x14ac:dyDescent="0.25">
      <c r="A217" s="244" t="s">
        <v>2984</v>
      </c>
      <c r="B217" s="244" t="s">
        <v>1267</v>
      </c>
      <c r="C217" s="244" t="s">
        <v>2956</v>
      </c>
      <c r="D217" s="245" t="s">
        <v>3118</v>
      </c>
      <c r="E217" s="244" t="s">
        <v>1082</v>
      </c>
      <c r="F217" s="256">
        <v>1</v>
      </c>
      <c r="G217" s="256">
        <v>5.91</v>
      </c>
      <c r="H217" s="256">
        <v>7.38</v>
      </c>
      <c r="I217" s="257">
        <f t="shared" si="4"/>
        <v>7.38</v>
      </c>
      <c r="J217" s="131"/>
      <c r="K217" s="131"/>
      <c r="L217" s="131"/>
    </row>
    <row r="218" spans="1:12" x14ac:dyDescent="0.25">
      <c r="A218" s="244" t="s">
        <v>2986</v>
      </c>
      <c r="B218" s="244" t="s">
        <v>2987</v>
      </c>
      <c r="C218" s="244" t="s">
        <v>2882</v>
      </c>
      <c r="D218" s="245" t="s">
        <v>2988</v>
      </c>
      <c r="E218" s="244" t="s">
        <v>1082</v>
      </c>
      <c r="F218" s="256">
        <v>21</v>
      </c>
      <c r="G218" s="256">
        <v>72.569999999999993</v>
      </c>
      <c r="H218" s="256">
        <v>90.66</v>
      </c>
      <c r="I218" s="257">
        <f t="shared" si="4"/>
        <v>1903.86</v>
      </c>
      <c r="J218" s="131"/>
      <c r="K218" s="131"/>
      <c r="L218" s="131"/>
    </row>
    <row r="219" spans="1:12" x14ac:dyDescent="0.25">
      <c r="A219" s="244" t="s">
        <v>2989</v>
      </c>
      <c r="B219" s="244" t="s">
        <v>1273</v>
      </c>
      <c r="C219" s="244" t="s">
        <v>2956</v>
      </c>
      <c r="D219" s="245" t="s">
        <v>2990</v>
      </c>
      <c r="E219" s="244" t="s">
        <v>1082</v>
      </c>
      <c r="F219" s="256">
        <v>2</v>
      </c>
      <c r="G219" s="256">
        <v>108.52</v>
      </c>
      <c r="H219" s="256">
        <v>135.57</v>
      </c>
      <c r="I219" s="257">
        <f t="shared" si="4"/>
        <v>271.14</v>
      </c>
      <c r="J219" s="131"/>
      <c r="K219" s="131"/>
      <c r="L219" s="131"/>
    </row>
    <row r="220" spans="1:12" ht="22.5" x14ac:dyDescent="0.25">
      <c r="A220" s="244" t="s">
        <v>2991</v>
      </c>
      <c r="B220" s="244" t="s">
        <v>1372</v>
      </c>
      <c r="C220" s="244" t="s">
        <v>504</v>
      </c>
      <c r="D220" s="245" t="s">
        <v>2992</v>
      </c>
      <c r="E220" s="244" t="s">
        <v>1082</v>
      </c>
      <c r="F220" s="256">
        <v>11</v>
      </c>
      <c r="G220" s="256">
        <v>13.43</v>
      </c>
      <c r="H220" s="256">
        <v>16.78</v>
      </c>
      <c r="I220" s="257">
        <f t="shared" si="4"/>
        <v>184.58</v>
      </c>
      <c r="J220" s="131"/>
      <c r="K220" s="131"/>
      <c r="L220" s="131"/>
    </row>
    <row r="221" spans="1:12" x14ac:dyDescent="0.25">
      <c r="A221" s="244" t="s">
        <v>2993</v>
      </c>
      <c r="B221" s="244" t="s">
        <v>1294</v>
      </c>
      <c r="C221" s="244" t="s">
        <v>2956</v>
      </c>
      <c r="D221" s="245" t="s">
        <v>2994</v>
      </c>
      <c r="E221" s="244" t="s">
        <v>1082</v>
      </c>
      <c r="F221" s="256">
        <v>12</v>
      </c>
      <c r="G221" s="256">
        <v>14.53</v>
      </c>
      <c r="H221" s="256">
        <v>18.149999999999999</v>
      </c>
      <c r="I221" s="257">
        <f t="shared" si="4"/>
        <v>217.8</v>
      </c>
      <c r="J221" s="131"/>
      <c r="K221" s="131"/>
      <c r="L221" s="131"/>
    </row>
    <row r="222" spans="1:12" x14ac:dyDescent="0.25">
      <c r="A222" s="244" t="s">
        <v>2997</v>
      </c>
      <c r="B222" s="244" t="s">
        <v>1291</v>
      </c>
      <c r="C222" s="244" t="s">
        <v>2956</v>
      </c>
      <c r="D222" s="245" t="s">
        <v>2998</v>
      </c>
      <c r="E222" s="244" t="s">
        <v>1082</v>
      </c>
      <c r="F222" s="256">
        <v>2</v>
      </c>
      <c r="G222" s="256">
        <v>5.99</v>
      </c>
      <c r="H222" s="256">
        <v>7.48</v>
      </c>
      <c r="I222" s="257">
        <f t="shared" si="4"/>
        <v>14.96</v>
      </c>
      <c r="J222" s="131"/>
      <c r="K222" s="131"/>
      <c r="L222" s="131"/>
    </row>
    <row r="223" spans="1:12" ht="22.5" x14ac:dyDescent="0.25">
      <c r="A223" s="244" t="s">
        <v>2999</v>
      </c>
      <c r="B223" s="244" t="s">
        <v>1201</v>
      </c>
      <c r="C223" s="244" t="s">
        <v>2882</v>
      </c>
      <c r="D223" s="245" t="s">
        <v>3000</v>
      </c>
      <c r="E223" s="244" t="s">
        <v>1082</v>
      </c>
      <c r="F223" s="256">
        <v>5</v>
      </c>
      <c r="G223" s="256">
        <v>12.04</v>
      </c>
      <c r="H223" s="256">
        <v>15.04</v>
      </c>
      <c r="I223" s="257">
        <f t="shared" si="4"/>
        <v>75.2</v>
      </c>
      <c r="J223" s="131"/>
      <c r="K223" s="131"/>
      <c r="L223" s="131"/>
    </row>
    <row r="224" spans="1:12" x14ac:dyDescent="0.25">
      <c r="A224" s="244" t="s">
        <v>3001</v>
      </c>
      <c r="B224" s="244" t="s">
        <v>1327</v>
      </c>
      <c r="C224" s="244" t="s">
        <v>2956</v>
      </c>
      <c r="D224" s="245" t="s">
        <v>3002</v>
      </c>
      <c r="E224" s="244" t="s">
        <v>1082</v>
      </c>
      <c r="F224" s="256">
        <v>18</v>
      </c>
      <c r="G224" s="256">
        <v>136.18</v>
      </c>
      <c r="H224" s="256">
        <v>170.13</v>
      </c>
      <c r="I224" s="257">
        <f t="shared" si="4"/>
        <v>3062.34</v>
      </c>
      <c r="J224" s="131"/>
      <c r="K224" s="131"/>
      <c r="L224" s="131"/>
    </row>
    <row r="225" spans="1:12" ht="22.5" x14ac:dyDescent="0.25">
      <c r="A225" s="244" t="s">
        <v>3005</v>
      </c>
      <c r="B225" s="244" t="s">
        <v>1357</v>
      </c>
      <c r="C225" s="244" t="s">
        <v>504</v>
      </c>
      <c r="D225" s="245" t="s">
        <v>3006</v>
      </c>
      <c r="E225" s="244" t="s">
        <v>1082</v>
      </c>
      <c r="F225" s="256">
        <v>2</v>
      </c>
      <c r="G225" s="256">
        <v>14.83</v>
      </c>
      <c r="H225" s="256">
        <v>18.53</v>
      </c>
      <c r="I225" s="257">
        <f t="shared" si="4"/>
        <v>37.06</v>
      </c>
      <c r="J225" s="131"/>
      <c r="K225" s="131"/>
      <c r="L225" s="131"/>
    </row>
    <row r="226" spans="1:12" ht="22.5" x14ac:dyDescent="0.25">
      <c r="A226" s="244" t="s">
        <v>3007</v>
      </c>
      <c r="B226" s="244" t="s">
        <v>1207</v>
      </c>
      <c r="C226" s="244" t="s">
        <v>2882</v>
      </c>
      <c r="D226" s="245" t="s">
        <v>3008</v>
      </c>
      <c r="E226" s="244" t="s">
        <v>1082</v>
      </c>
      <c r="F226" s="256">
        <v>12</v>
      </c>
      <c r="G226" s="256">
        <v>48.35</v>
      </c>
      <c r="H226" s="256">
        <v>60.4</v>
      </c>
      <c r="I226" s="257">
        <f t="shared" si="4"/>
        <v>724.8</v>
      </c>
      <c r="J226" s="131"/>
      <c r="K226" s="131"/>
      <c r="L226" s="131"/>
    </row>
    <row r="227" spans="1:12" x14ac:dyDescent="0.25">
      <c r="A227" s="244" t="s">
        <v>3009</v>
      </c>
      <c r="B227" s="244" t="s">
        <v>1360</v>
      </c>
      <c r="C227" s="244" t="s">
        <v>504</v>
      </c>
      <c r="D227" s="245" t="s">
        <v>3010</v>
      </c>
      <c r="E227" s="244" t="s">
        <v>1082</v>
      </c>
      <c r="F227" s="256">
        <v>5</v>
      </c>
      <c r="G227" s="256">
        <v>31.74</v>
      </c>
      <c r="H227" s="256">
        <v>39.65</v>
      </c>
      <c r="I227" s="257">
        <f t="shared" si="4"/>
        <v>198.25</v>
      </c>
      <c r="J227" s="131"/>
      <c r="K227" s="131"/>
      <c r="L227" s="131"/>
    </row>
    <row r="228" spans="1:12" x14ac:dyDescent="0.25">
      <c r="A228" s="244" t="s">
        <v>3011</v>
      </c>
      <c r="B228" s="244" t="s">
        <v>1363</v>
      </c>
      <c r="C228" s="244" t="s">
        <v>504</v>
      </c>
      <c r="D228" s="245" t="s">
        <v>3012</v>
      </c>
      <c r="E228" s="244" t="s">
        <v>1082</v>
      </c>
      <c r="F228" s="256">
        <v>6</v>
      </c>
      <c r="G228" s="256">
        <v>34.119999999999997</v>
      </c>
      <c r="H228" s="256">
        <v>42.63</v>
      </c>
      <c r="I228" s="257">
        <f t="shared" si="4"/>
        <v>255.78</v>
      </c>
      <c r="J228" s="131"/>
      <c r="K228" s="131"/>
      <c r="L228" s="131"/>
    </row>
    <row r="229" spans="1:12" x14ac:dyDescent="0.25">
      <c r="A229" s="252" t="s">
        <v>3013</v>
      </c>
      <c r="B229" s="252"/>
      <c r="C229" s="252"/>
      <c r="D229" s="253" t="s">
        <v>3014</v>
      </c>
      <c r="E229" s="252"/>
      <c r="F229" s="254"/>
      <c r="G229" s="255"/>
      <c r="H229" s="255"/>
      <c r="I229" s="255">
        <f>I230+I235</f>
        <v>3723.65</v>
      </c>
      <c r="J229" s="131"/>
      <c r="K229" s="131"/>
      <c r="L229" s="131"/>
    </row>
    <row r="230" spans="1:12" x14ac:dyDescent="0.25">
      <c r="A230" s="261" t="s">
        <v>3015</v>
      </c>
      <c r="B230" s="261"/>
      <c r="C230" s="261"/>
      <c r="D230" s="262" t="s">
        <v>3016</v>
      </c>
      <c r="E230" s="261"/>
      <c r="F230" s="263"/>
      <c r="G230" s="263"/>
      <c r="H230" s="263"/>
      <c r="I230" s="266">
        <f>SUM(I231:I234)</f>
        <v>2328.71</v>
      </c>
      <c r="J230" s="131"/>
      <c r="K230" s="131"/>
      <c r="L230" s="131"/>
    </row>
    <row r="231" spans="1:12" x14ac:dyDescent="0.25">
      <c r="A231" s="244" t="s">
        <v>3020</v>
      </c>
      <c r="B231" s="244" t="s">
        <v>1303</v>
      </c>
      <c r="C231" s="244" t="s">
        <v>2956</v>
      </c>
      <c r="D231" s="245" t="s">
        <v>3021</v>
      </c>
      <c r="E231" s="244" t="s">
        <v>473</v>
      </c>
      <c r="F231" s="256">
        <v>15.93</v>
      </c>
      <c r="G231" s="256">
        <v>32.659999999999997</v>
      </c>
      <c r="H231" s="256">
        <v>40.799999999999997</v>
      </c>
      <c r="I231" s="257">
        <f t="shared" si="4"/>
        <v>649.94000000000005</v>
      </c>
      <c r="J231" s="131"/>
      <c r="K231" s="131"/>
      <c r="L231" s="131"/>
    </row>
    <row r="232" spans="1:12" x14ac:dyDescent="0.25">
      <c r="A232" s="244" t="s">
        <v>3022</v>
      </c>
      <c r="B232" s="244" t="s">
        <v>1306</v>
      </c>
      <c r="C232" s="244" t="s">
        <v>2956</v>
      </c>
      <c r="D232" s="245" t="s">
        <v>3023</v>
      </c>
      <c r="E232" s="244" t="s">
        <v>473</v>
      </c>
      <c r="F232" s="256">
        <v>18.03</v>
      </c>
      <c r="G232" s="256">
        <v>47.21</v>
      </c>
      <c r="H232" s="256">
        <v>58.98</v>
      </c>
      <c r="I232" s="257">
        <f t="shared" si="4"/>
        <v>1063.4100000000001</v>
      </c>
      <c r="J232" s="131"/>
      <c r="K232" s="131"/>
      <c r="L232" s="131"/>
    </row>
    <row r="233" spans="1:12" ht="22.5" x14ac:dyDescent="0.25">
      <c r="A233" s="244" t="s">
        <v>3030</v>
      </c>
      <c r="B233" s="244" t="s">
        <v>1213</v>
      </c>
      <c r="C233" s="244" t="s">
        <v>2882</v>
      </c>
      <c r="D233" s="245" t="s">
        <v>2959</v>
      </c>
      <c r="E233" s="244" t="s">
        <v>473</v>
      </c>
      <c r="F233" s="256">
        <v>33.96</v>
      </c>
      <c r="G233" s="256">
        <v>7.23</v>
      </c>
      <c r="H233" s="256">
        <v>9.0299999999999994</v>
      </c>
      <c r="I233" s="257">
        <f t="shared" si="4"/>
        <v>306.66000000000003</v>
      </c>
      <c r="J233" s="131"/>
      <c r="K233" s="131"/>
      <c r="L233" s="131"/>
    </row>
    <row r="234" spans="1:12" ht="22.5" x14ac:dyDescent="0.25">
      <c r="A234" s="244" t="s">
        <v>3031</v>
      </c>
      <c r="B234" s="244" t="s">
        <v>1216</v>
      </c>
      <c r="C234" s="244" t="s">
        <v>2882</v>
      </c>
      <c r="D234" s="245" t="s">
        <v>2961</v>
      </c>
      <c r="E234" s="244" t="s">
        <v>473</v>
      </c>
      <c r="F234" s="256">
        <v>33.96</v>
      </c>
      <c r="G234" s="256">
        <v>7.28</v>
      </c>
      <c r="H234" s="256">
        <v>9.09</v>
      </c>
      <c r="I234" s="257">
        <f t="shared" si="4"/>
        <v>308.7</v>
      </c>
      <c r="J234" s="131"/>
      <c r="K234" s="131"/>
      <c r="L234" s="131"/>
    </row>
    <row r="235" spans="1:12" x14ac:dyDescent="0.25">
      <c r="A235" s="261" t="s">
        <v>3032</v>
      </c>
      <c r="B235" s="261"/>
      <c r="C235" s="261"/>
      <c r="D235" s="262" t="s">
        <v>3033</v>
      </c>
      <c r="E235" s="261"/>
      <c r="F235" s="263"/>
      <c r="G235" s="263"/>
      <c r="H235" s="263"/>
      <c r="I235" s="266">
        <f>SUM(I236:I239)</f>
        <v>1394.94</v>
      </c>
      <c r="J235" s="131"/>
      <c r="K235" s="131"/>
      <c r="L235" s="131"/>
    </row>
    <row r="236" spans="1:12" x14ac:dyDescent="0.25">
      <c r="A236" s="244" t="s">
        <v>3035</v>
      </c>
      <c r="B236" s="244" t="s">
        <v>1303</v>
      </c>
      <c r="C236" s="244" t="s">
        <v>2956</v>
      </c>
      <c r="D236" s="245" t="s">
        <v>3021</v>
      </c>
      <c r="E236" s="244" t="s">
        <v>473</v>
      </c>
      <c r="F236" s="256">
        <v>10.210000000000001</v>
      </c>
      <c r="G236" s="256">
        <v>32.659999999999997</v>
      </c>
      <c r="H236" s="256">
        <v>40.799999999999997</v>
      </c>
      <c r="I236" s="257">
        <f t="shared" si="4"/>
        <v>416.57</v>
      </c>
      <c r="J236" s="131"/>
      <c r="K236" s="131"/>
      <c r="L236" s="131"/>
    </row>
    <row r="237" spans="1:12" x14ac:dyDescent="0.25">
      <c r="A237" s="244" t="s">
        <v>3036</v>
      </c>
      <c r="B237" s="244" t="s">
        <v>1306</v>
      </c>
      <c r="C237" s="244" t="s">
        <v>2956</v>
      </c>
      <c r="D237" s="245" t="s">
        <v>3023</v>
      </c>
      <c r="E237" s="244" t="s">
        <v>473</v>
      </c>
      <c r="F237" s="256">
        <v>10.29</v>
      </c>
      <c r="G237" s="256">
        <v>47.21</v>
      </c>
      <c r="H237" s="256">
        <v>58.98</v>
      </c>
      <c r="I237" s="257">
        <f t="shared" si="4"/>
        <v>606.9</v>
      </c>
      <c r="J237" s="131"/>
      <c r="K237" s="131"/>
      <c r="L237" s="131"/>
    </row>
    <row r="238" spans="1:12" ht="22.5" x14ac:dyDescent="0.25">
      <c r="A238" s="244" t="s">
        <v>3039</v>
      </c>
      <c r="B238" s="244" t="s">
        <v>1213</v>
      </c>
      <c r="C238" s="244" t="s">
        <v>2882</v>
      </c>
      <c r="D238" s="245" t="s">
        <v>2959</v>
      </c>
      <c r="E238" s="244" t="s">
        <v>473</v>
      </c>
      <c r="F238" s="256">
        <v>20.5</v>
      </c>
      <c r="G238" s="256">
        <v>7.23</v>
      </c>
      <c r="H238" s="256">
        <v>9.0299999999999994</v>
      </c>
      <c r="I238" s="257">
        <f t="shared" si="4"/>
        <v>185.12</v>
      </c>
      <c r="J238" s="131"/>
      <c r="K238" s="131"/>
      <c r="L238" s="131"/>
    </row>
    <row r="239" spans="1:12" ht="22.5" x14ac:dyDescent="0.25">
      <c r="A239" s="244" t="s">
        <v>3040</v>
      </c>
      <c r="B239" s="244" t="s">
        <v>1216</v>
      </c>
      <c r="C239" s="244" t="s">
        <v>2882</v>
      </c>
      <c r="D239" s="245" t="s">
        <v>2961</v>
      </c>
      <c r="E239" s="244" t="s">
        <v>473</v>
      </c>
      <c r="F239" s="256">
        <v>20.5</v>
      </c>
      <c r="G239" s="256">
        <v>7.28</v>
      </c>
      <c r="H239" s="256">
        <v>9.09</v>
      </c>
      <c r="I239" s="257">
        <f t="shared" si="4"/>
        <v>186.35</v>
      </c>
      <c r="J239" s="131"/>
      <c r="K239" s="131"/>
      <c r="L239" s="131"/>
    </row>
    <row r="240" spans="1:12" x14ac:dyDescent="0.25">
      <c r="A240" s="252" t="s">
        <v>3041</v>
      </c>
      <c r="B240" s="252"/>
      <c r="C240" s="252"/>
      <c r="D240" s="253" t="s">
        <v>3042</v>
      </c>
      <c r="E240" s="252"/>
      <c r="F240" s="254"/>
      <c r="G240" s="255"/>
      <c r="H240" s="255"/>
      <c r="I240" s="255">
        <f>SUM(I241:I248)</f>
        <v>1854.1099999999997</v>
      </c>
      <c r="J240" s="131"/>
      <c r="K240" s="131"/>
      <c r="L240" s="131"/>
    </row>
    <row r="241" spans="1:12" ht="22.5" x14ac:dyDescent="0.25">
      <c r="A241" s="244" t="s">
        <v>3043</v>
      </c>
      <c r="B241" s="244" t="s">
        <v>1237</v>
      </c>
      <c r="C241" s="244" t="s">
        <v>2882</v>
      </c>
      <c r="D241" s="245" t="s">
        <v>3044</v>
      </c>
      <c r="E241" s="244" t="s">
        <v>1082</v>
      </c>
      <c r="F241" s="256">
        <v>2</v>
      </c>
      <c r="G241" s="256">
        <v>466.74</v>
      </c>
      <c r="H241" s="256">
        <v>583.1</v>
      </c>
      <c r="I241" s="257">
        <f t="shared" si="4"/>
        <v>1166.2</v>
      </c>
      <c r="J241" s="131"/>
      <c r="K241" s="131"/>
      <c r="L241" s="131"/>
    </row>
    <row r="242" spans="1:12" ht="22.5" x14ac:dyDescent="0.25">
      <c r="A242" s="244" t="s">
        <v>3051</v>
      </c>
      <c r="B242" s="244" t="s">
        <v>1225</v>
      </c>
      <c r="C242" s="244" t="s">
        <v>2882</v>
      </c>
      <c r="D242" s="245" t="s">
        <v>3052</v>
      </c>
      <c r="E242" s="244" t="s">
        <v>1082</v>
      </c>
      <c r="F242" s="256">
        <v>4</v>
      </c>
      <c r="G242" s="256">
        <v>12.13</v>
      </c>
      <c r="H242" s="256">
        <v>15.15</v>
      </c>
      <c r="I242" s="257">
        <f t="shared" si="4"/>
        <v>60.6</v>
      </c>
      <c r="J242" s="131"/>
      <c r="K242" s="131"/>
      <c r="L242" s="131"/>
    </row>
    <row r="243" spans="1:12" ht="22.5" x14ac:dyDescent="0.25">
      <c r="A243" s="244" t="s">
        <v>3053</v>
      </c>
      <c r="B243" s="244" t="s">
        <v>1228</v>
      </c>
      <c r="C243" s="244" t="s">
        <v>2882</v>
      </c>
      <c r="D243" s="245" t="s">
        <v>3054</v>
      </c>
      <c r="E243" s="244" t="s">
        <v>1082</v>
      </c>
      <c r="F243" s="256">
        <v>4</v>
      </c>
      <c r="G243" s="256">
        <v>17.670000000000002</v>
      </c>
      <c r="H243" s="256">
        <v>22.08</v>
      </c>
      <c r="I243" s="257">
        <f t="shared" si="4"/>
        <v>88.32</v>
      </c>
      <c r="J243" s="131"/>
      <c r="K243" s="131"/>
      <c r="L243" s="131"/>
    </row>
    <row r="244" spans="1:12" ht="22.5" x14ac:dyDescent="0.25">
      <c r="A244" s="244" t="s">
        <v>3055</v>
      </c>
      <c r="B244" s="244" t="s">
        <v>1222</v>
      </c>
      <c r="C244" s="244" t="s">
        <v>2882</v>
      </c>
      <c r="D244" s="245" t="s">
        <v>3056</v>
      </c>
      <c r="E244" s="244" t="s">
        <v>1082</v>
      </c>
      <c r="F244" s="256">
        <v>1</v>
      </c>
      <c r="G244" s="256">
        <v>30.91</v>
      </c>
      <c r="H244" s="256">
        <v>38.619999999999997</v>
      </c>
      <c r="I244" s="257">
        <f t="shared" si="4"/>
        <v>38.619999999999997</v>
      </c>
      <c r="J244" s="131"/>
      <c r="K244" s="131"/>
      <c r="L244" s="131"/>
    </row>
    <row r="245" spans="1:12" ht="22.5" x14ac:dyDescent="0.25">
      <c r="A245" s="244" t="s">
        <v>3057</v>
      </c>
      <c r="B245" s="244" t="s">
        <v>1210</v>
      </c>
      <c r="C245" s="244" t="s">
        <v>2882</v>
      </c>
      <c r="D245" s="245" t="s">
        <v>3058</v>
      </c>
      <c r="E245" s="244" t="s">
        <v>1082</v>
      </c>
      <c r="F245" s="256">
        <v>5</v>
      </c>
      <c r="G245" s="256">
        <v>50.84</v>
      </c>
      <c r="H245" s="256">
        <v>63.51</v>
      </c>
      <c r="I245" s="257">
        <f t="shared" si="4"/>
        <v>317.55</v>
      </c>
      <c r="J245" s="131"/>
      <c r="K245" s="131"/>
      <c r="L245" s="131"/>
    </row>
    <row r="246" spans="1:12" x14ac:dyDescent="0.25">
      <c r="A246" s="244" t="s">
        <v>3060</v>
      </c>
      <c r="B246" s="244" t="s">
        <v>1279</v>
      </c>
      <c r="C246" s="244" t="s">
        <v>2956</v>
      </c>
      <c r="D246" s="245" t="s">
        <v>3061</v>
      </c>
      <c r="E246" s="244" t="s">
        <v>1082</v>
      </c>
      <c r="F246" s="256">
        <v>3</v>
      </c>
      <c r="G246" s="256">
        <v>12.15</v>
      </c>
      <c r="H246" s="256">
        <v>15.18</v>
      </c>
      <c r="I246" s="257">
        <f t="shared" si="4"/>
        <v>45.54</v>
      </c>
      <c r="J246" s="131"/>
      <c r="K246" s="131"/>
      <c r="L246" s="131"/>
    </row>
    <row r="247" spans="1:12" x14ac:dyDescent="0.25">
      <c r="A247" s="244" t="s">
        <v>3062</v>
      </c>
      <c r="B247" s="244" t="s">
        <v>1282</v>
      </c>
      <c r="C247" s="244" t="s">
        <v>2956</v>
      </c>
      <c r="D247" s="245" t="s">
        <v>3063</v>
      </c>
      <c r="E247" s="244" t="s">
        <v>1082</v>
      </c>
      <c r="F247" s="256">
        <v>3</v>
      </c>
      <c r="G247" s="256">
        <v>16.809999999999999</v>
      </c>
      <c r="H247" s="256">
        <v>21</v>
      </c>
      <c r="I247" s="257">
        <f t="shared" si="4"/>
        <v>63</v>
      </c>
      <c r="J247" s="131"/>
      <c r="K247" s="131"/>
      <c r="L247" s="131"/>
    </row>
    <row r="248" spans="1:12" x14ac:dyDescent="0.25">
      <c r="A248" s="244" t="s">
        <v>3066</v>
      </c>
      <c r="B248" s="244" t="s">
        <v>1369</v>
      </c>
      <c r="C248" s="244" t="s">
        <v>504</v>
      </c>
      <c r="D248" s="245" t="s">
        <v>3109</v>
      </c>
      <c r="E248" s="244" t="s">
        <v>1082</v>
      </c>
      <c r="F248" s="256">
        <v>2</v>
      </c>
      <c r="G248" s="256">
        <v>29.73</v>
      </c>
      <c r="H248" s="256">
        <v>37.14</v>
      </c>
      <c r="I248" s="257">
        <f t="shared" si="4"/>
        <v>74.28</v>
      </c>
      <c r="J248" s="131"/>
      <c r="K248" s="131"/>
      <c r="L248" s="131"/>
    </row>
    <row r="249" spans="1:12" x14ac:dyDescent="0.25">
      <c r="A249" s="252" t="s">
        <v>3068</v>
      </c>
      <c r="B249" s="252"/>
      <c r="C249" s="252"/>
      <c r="D249" s="253" t="s">
        <v>3069</v>
      </c>
      <c r="E249" s="252"/>
      <c r="F249" s="254"/>
      <c r="G249" s="255"/>
      <c r="H249" s="255"/>
      <c r="I249" s="255">
        <f>SUM(I250:I259)</f>
        <v>25532.899999999998</v>
      </c>
      <c r="J249" s="131"/>
      <c r="K249" s="131"/>
      <c r="L249" s="131"/>
    </row>
    <row r="250" spans="1:12" x14ac:dyDescent="0.25">
      <c r="A250" s="244" t="s">
        <v>3070</v>
      </c>
      <c r="B250" s="244" t="s">
        <v>3071</v>
      </c>
      <c r="C250" s="244" t="s">
        <v>2956</v>
      </c>
      <c r="D250" s="245" t="s">
        <v>3072</v>
      </c>
      <c r="E250" s="244" t="s">
        <v>1082</v>
      </c>
      <c r="F250" s="256">
        <v>17</v>
      </c>
      <c r="G250" s="256">
        <v>195.08</v>
      </c>
      <c r="H250" s="256">
        <v>243.71</v>
      </c>
      <c r="I250" s="257">
        <f t="shared" si="4"/>
        <v>4143.07</v>
      </c>
      <c r="J250" s="131"/>
      <c r="K250" s="131"/>
      <c r="L250" s="131"/>
    </row>
    <row r="251" spans="1:12" x14ac:dyDescent="0.25">
      <c r="A251" s="244" t="s">
        <v>3078</v>
      </c>
      <c r="B251" s="244" t="s">
        <v>1339</v>
      </c>
      <c r="C251" s="244" t="s">
        <v>2956</v>
      </c>
      <c r="D251" s="245" t="s">
        <v>3079</v>
      </c>
      <c r="E251" s="244" t="s">
        <v>1082</v>
      </c>
      <c r="F251" s="256">
        <v>12</v>
      </c>
      <c r="G251" s="256">
        <v>87.71</v>
      </c>
      <c r="H251" s="256">
        <v>109.58</v>
      </c>
      <c r="I251" s="257">
        <f t="shared" si="4"/>
        <v>1314.96</v>
      </c>
      <c r="J251" s="131"/>
      <c r="K251" s="131"/>
      <c r="L251" s="131"/>
    </row>
    <row r="252" spans="1:12" ht="33.75" x14ac:dyDescent="0.25">
      <c r="A252" s="244" t="s">
        <v>3080</v>
      </c>
      <c r="B252" s="244" t="s">
        <v>1204</v>
      </c>
      <c r="C252" s="244" t="s">
        <v>2882</v>
      </c>
      <c r="D252" s="245" t="s">
        <v>3081</v>
      </c>
      <c r="E252" s="244" t="s">
        <v>1082</v>
      </c>
      <c r="F252" s="256">
        <v>12</v>
      </c>
      <c r="G252" s="256">
        <v>184.57</v>
      </c>
      <c r="H252" s="256">
        <v>230.58</v>
      </c>
      <c r="I252" s="257">
        <f t="shared" si="4"/>
        <v>2766.96</v>
      </c>
      <c r="J252" s="131"/>
      <c r="K252" s="131"/>
      <c r="L252" s="131"/>
    </row>
    <row r="253" spans="1:12" x14ac:dyDescent="0.25">
      <c r="A253" s="244" t="s">
        <v>3082</v>
      </c>
      <c r="B253" s="244" t="s">
        <v>1255</v>
      </c>
      <c r="C253" s="244" t="s">
        <v>2956</v>
      </c>
      <c r="D253" s="245" t="s">
        <v>3083</v>
      </c>
      <c r="E253" s="244" t="s">
        <v>1082</v>
      </c>
      <c r="F253" s="256">
        <v>2</v>
      </c>
      <c r="G253" s="256">
        <v>58.28</v>
      </c>
      <c r="H253" s="256">
        <v>72.81</v>
      </c>
      <c r="I253" s="257">
        <f t="shared" si="4"/>
        <v>145.62</v>
      </c>
      <c r="J253" s="131"/>
      <c r="K253" s="131"/>
      <c r="L253" s="131"/>
    </row>
    <row r="254" spans="1:12" x14ac:dyDescent="0.25">
      <c r="A254" s="244" t="s">
        <v>3087</v>
      </c>
      <c r="B254" s="244" t="s">
        <v>1258</v>
      </c>
      <c r="C254" s="244" t="s">
        <v>2956</v>
      </c>
      <c r="D254" s="245" t="s">
        <v>3088</v>
      </c>
      <c r="E254" s="244" t="s">
        <v>1082</v>
      </c>
      <c r="F254" s="256">
        <v>1</v>
      </c>
      <c r="G254" s="256">
        <v>182.59</v>
      </c>
      <c r="H254" s="256">
        <v>228.11</v>
      </c>
      <c r="I254" s="257">
        <f t="shared" si="4"/>
        <v>228.11</v>
      </c>
      <c r="J254" s="131"/>
      <c r="K254" s="131"/>
      <c r="L254" s="131"/>
    </row>
    <row r="255" spans="1:12" ht="45" x14ac:dyDescent="0.25">
      <c r="A255" s="244" t="s">
        <v>3089</v>
      </c>
      <c r="B255" s="244" t="s">
        <v>3090</v>
      </c>
      <c r="C255" s="244" t="s">
        <v>2882</v>
      </c>
      <c r="D255" s="245" t="s">
        <v>3091</v>
      </c>
      <c r="E255" s="244" t="s">
        <v>1082</v>
      </c>
      <c r="F255" s="256">
        <v>19</v>
      </c>
      <c r="G255" s="256">
        <v>399.47</v>
      </c>
      <c r="H255" s="256">
        <v>499.06</v>
      </c>
      <c r="I255" s="257">
        <f t="shared" si="4"/>
        <v>9482.14</v>
      </c>
      <c r="J255" s="131"/>
      <c r="K255" s="131"/>
      <c r="L255" s="131"/>
    </row>
    <row r="256" spans="1:12" x14ac:dyDescent="0.25">
      <c r="A256" s="244" t="s">
        <v>3092</v>
      </c>
      <c r="B256" s="244" t="s">
        <v>3093</v>
      </c>
      <c r="C256" s="244" t="s">
        <v>2956</v>
      </c>
      <c r="D256" s="245" t="s">
        <v>3094</v>
      </c>
      <c r="E256" s="244" t="s">
        <v>1082</v>
      </c>
      <c r="F256" s="256">
        <v>5</v>
      </c>
      <c r="G256" s="256">
        <v>697.79</v>
      </c>
      <c r="H256" s="256">
        <v>871.75</v>
      </c>
      <c r="I256" s="257">
        <f t="shared" si="4"/>
        <v>4358.75</v>
      </c>
      <c r="J256" s="131"/>
      <c r="K256" s="131"/>
      <c r="L256" s="131"/>
    </row>
    <row r="257" spans="1:12" ht="33.75" x14ac:dyDescent="0.25">
      <c r="A257" s="244" t="s">
        <v>3095</v>
      </c>
      <c r="B257" s="244" t="s">
        <v>3096</v>
      </c>
      <c r="C257" s="244" t="s">
        <v>2882</v>
      </c>
      <c r="D257" s="245" t="s">
        <v>3097</v>
      </c>
      <c r="E257" s="244" t="s">
        <v>1082</v>
      </c>
      <c r="F257" s="256">
        <v>2</v>
      </c>
      <c r="G257" s="256">
        <v>509.25</v>
      </c>
      <c r="H257" s="256">
        <v>636.21</v>
      </c>
      <c r="I257" s="257">
        <f t="shared" si="4"/>
        <v>1272.42</v>
      </c>
      <c r="J257" s="131"/>
      <c r="K257" s="131"/>
      <c r="L257" s="131"/>
    </row>
    <row r="258" spans="1:12" ht="22.5" x14ac:dyDescent="0.25">
      <c r="A258" s="244" t="s">
        <v>3098</v>
      </c>
      <c r="B258" s="244" t="s">
        <v>3099</v>
      </c>
      <c r="C258" s="244" t="s">
        <v>2882</v>
      </c>
      <c r="D258" s="245" t="s">
        <v>3100</v>
      </c>
      <c r="E258" s="244" t="s">
        <v>1082</v>
      </c>
      <c r="F258" s="256">
        <v>5</v>
      </c>
      <c r="G258" s="256">
        <v>65.760000000000005</v>
      </c>
      <c r="H258" s="256">
        <v>82.15</v>
      </c>
      <c r="I258" s="257">
        <f t="shared" si="4"/>
        <v>410.75</v>
      </c>
      <c r="J258" s="131"/>
      <c r="K258" s="131"/>
      <c r="L258" s="131"/>
    </row>
    <row r="259" spans="1:12" ht="33.75" x14ac:dyDescent="0.25">
      <c r="A259" s="244" t="s">
        <v>3113</v>
      </c>
      <c r="B259" s="244" t="s">
        <v>3119</v>
      </c>
      <c r="C259" s="244" t="s">
        <v>2882</v>
      </c>
      <c r="D259" s="245" t="s">
        <v>3120</v>
      </c>
      <c r="E259" s="244" t="s">
        <v>1082</v>
      </c>
      <c r="F259" s="256">
        <v>3</v>
      </c>
      <c r="G259" s="256">
        <v>376.24</v>
      </c>
      <c r="H259" s="256">
        <v>470.04</v>
      </c>
      <c r="I259" s="257">
        <f t="shared" si="4"/>
        <v>1410.12</v>
      </c>
      <c r="J259" s="131"/>
      <c r="K259" s="131"/>
      <c r="L259" s="131"/>
    </row>
    <row r="260" spans="1:12" x14ac:dyDescent="0.25">
      <c r="A260" s="660" t="s">
        <v>2945</v>
      </c>
      <c r="B260" s="660"/>
      <c r="C260" s="660"/>
      <c r="D260" s="250" t="s">
        <v>3121</v>
      </c>
      <c r="E260" s="660"/>
      <c r="F260" s="260"/>
      <c r="G260" s="260"/>
      <c r="H260" s="260"/>
      <c r="I260" s="260"/>
      <c r="J260" s="131"/>
      <c r="K260" s="131"/>
      <c r="L260" s="131"/>
    </row>
    <row r="261" spans="1:12" x14ac:dyDescent="0.25">
      <c r="A261" s="252" t="s">
        <v>2947</v>
      </c>
      <c r="B261" s="252"/>
      <c r="C261" s="252"/>
      <c r="D261" s="253" t="s">
        <v>2948</v>
      </c>
      <c r="E261" s="252"/>
      <c r="F261" s="254"/>
      <c r="G261" s="255"/>
      <c r="H261" s="255"/>
      <c r="I261" s="255">
        <f>SUM(I262:I265)</f>
        <v>6924.57</v>
      </c>
      <c r="J261" s="131"/>
      <c r="K261" s="131"/>
      <c r="L261" s="131"/>
    </row>
    <row r="262" spans="1:12" ht="22.5" x14ac:dyDescent="0.25">
      <c r="A262" s="244" t="s">
        <v>2949</v>
      </c>
      <c r="B262" s="244" t="s">
        <v>1162</v>
      </c>
      <c r="C262" s="244" t="s">
        <v>2882</v>
      </c>
      <c r="D262" s="245" t="s">
        <v>2950</v>
      </c>
      <c r="E262" s="244" t="s">
        <v>473</v>
      </c>
      <c r="F262" s="256">
        <v>148.13999999999999</v>
      </c>
      <c r="G262" s="256">
        <v>11.78</v>
      </c>
      <c r="H262" s="256">
        <v>14.72</v>
      </c>
      <c r="I262" s="257">
        <f>ROUND(F262*H262,2)</f>
        <v>2180.62</v>
      </c>
      <c r="J262" s="131"/>
      <c r="K262" s="131"/>
      <c r="L262" s="131"/>
    </row>
    <row r="263" spans="1:12" ht="22.5" x14ac:dyDescent="0.25">
      <c r="A263" s="244" t="s">
        <v>3122</v>
      </c>
      <c r="B263" s="244" t="s">
        <v>1177</v>
      </c>
      <c r="C263" s="244" t="s">
        <v>2882</v>
      </c>
      <c r="D263" s="245" t="s">
        <v>2952</v>
      </c>
      <c r="E263" s="244" t="s">
        <v>473</v>
      </c>
      <c r="F263" s="256">
        <v>69.63</v>
      </c>
      <c r="G263" s="256">
        <v>9.17</v>
      </c>
      <c r="H263" s="256">
        <v>11.46</v>
      </c>
      <c r="I263" s="257">
        <f t="shared" ref="I263:I310" si="5">ROUND(F263*H263,2)</f>
        <v>797.96</v>
      </c>
      <c r="J263" s="131"/>
      <c r="K263" s="131"/>
      <c r="L263" s="131"/>
    </row>
    <row r="264" spans="1:12" ht="22.5" x14ac:dyDescent="0.25">
      <c r="A264" s="244" t="s">
        <v>3123</v>
      </c>
      <c r="B264" s="244" t="s">
        <v>1213</v>
      </c>
      <c r="C264" s="244" t="s">
        <v>2882</v>
      </c>
      <c r="D264" s="245" t="s">
        <v>2959</v>
      </c>
      <c r="E264" s="244" t="s">
        <v>473</v>
      </c>
      <c r="F264" s="256">
        <v>217.77</v>
      </c>
      <c r="G264" s="256">
        <v>7.23</v>
      </c>
      <c r="H264" s="256">
        <v>9.0299999999999994</v>
      </c>
      <c r="I264" s="257">
        <f t="shared" si="5"/>
        <v>1966.46</v>
      </c>
      <c r="J264" s="131"/>
      <c r="K264" s="131"/>
      <c r="L264" s="131"/>
    </row>
    <row r="265" spans="1:12" ht="22.5" x14ac:dyDescent="0.25">
      <c r="A265" s="244" t="s">
        <v>3124</v>
      </c>
      <c r="B265" s="244" t="s">
        <v>1216</v>
      </c>
      <c r="C265" s="244" t="s">
        <v>2882</v>
      </c>
      <c r="D265" s="245" t="s">
        <v>2961</v>
      </c>
      <c r="E265" s="244" t="s">
        <v>473</v>
      </c>
      <c r="F265" s="256">
        <v>217.77</v>
      </c>
      <c r="G265" s="256">
        <v>7.28</v>
      </c>
      <c r="H265" s="256">
        <v>9.09</v>
      </c>
      <c r="I265" s="257">
        <f t="shared" si="5"/>
        <v>1979.53</v>
      </c>
      <c r="J265" s="131"/>
      <c r="K265" s="131"/>
      <c r="L265" s="131"/>
    </row>
    <row r="266" spans="1:12" x14ac:dyDescent="0.25">
      <c r="A266" s="252" t="s">
        <v>2962</v>
      </c>
      <c r="B266" s="252"/>
      <c r="C266" s="252"/>
      <c r="D266" s="253" t="s">
        <v>2963</v>
      </c>
      <c r="E266" s="252"/>
      <c r="F266" s="254"/>
      <c r="G266" s="255"/>
      <c r="H266" s="255"/>
      <c r="I266" s="255">
        <f>SUM(I267:I279)</f>
        <v>4865.5800000000008</v>
      </c>
      <c r="J266" s="131"/>
      <c r="K266" s="131"/>
      <c r="L266" s="131"/>
    </row>
    <row r="267" spans="1:12" x14ac:dyDescent="0.25">
      <c r="A267" s="244" t="s">
        <v>2964</v>
      </c>
      <c r="B267" s="244" t="s">
        <v>1243</v>
      </c>
      <c r="C267" s="244" t="s">
        <v>2956</v>
      </c>
      <c r="D267" s="245" t="s">
        <v>2965</v>
      </c>
      <c r="E267" s="244" t="s">
        <v>1082</v>
      </c>
      <c r="F267" s="256">
        <v>6</v>
      </c>
      <c r="G267" s="256">
        <v>7.54</v>
      </c>
      <c r="H267" s="256">
        <v>9.42</v>
      </c>
      <c r="I267" s="257">
        <f t="shared" si="5"/>
        <v>56.52</v>
      </c>
      <c r="J267" s="131"/>
      <c r="K267" s="131"/>
      <c r="L267" s="131"/>
    </row>
    <row r="268" spans="1:12" ht="22.5" x14ac:dyDescent="0.25">
      <c r="A268" s="244" t="s">
        <v>3125</v>
      </c>
      <c r="B268" s="244" t="s">
        <v>1186</v>
      </c>
      <c r="C268" s="244" t="s">
        <v>2882</v>
      </c>
      <c r="D268" s="245" t="s">
        <v>2971</v>
      </c>
      <c r="E268" s="244" t="s">
        <v>1082</v>
      </c>
      <c r="F268" s="256">
        <v>1</v>
      </c>
      <c r="G268" s="256">
        <v>2.99</v>
      </c>
      <c r="H268" s="256">
        <v>3.74</v>
      </c>
      <c r="I268" s="257">
        <f t="shared" si="5"/>
        <v>3.74</v>
      </c>
      <c r="J268" s="131"/>
      <c r="K268" s="131"/>
      <c r="L268" s="131"/>
    </row>
    <row r="269" spans="1:12" ht="22.5" x14ac:dyDescent="0.25">
      <c r="A269" s="244" t="s">
        <v>3126</v>
      </c>
      <c r="B269" s="244" t="s">
        <v>1192</v>
      </c>
      <c r="C269" s="244" t="s">
        <v>2882</v>
      </c>
      <c r="D269" s="245" t="s">
        <v>2973</v>
      </c>
      <c r="E269" s="244" t="s">
        <v>1082</v>
      </c>
      <c r="F269" s="256">
        <v>1</v>
      </c>
      <c r="G269" s="256">
        <v>8.2100000000000009</v>
      </c>
      <c r="H269" s="256">
        <v>10.26</v>
      </c>
      <c r="I269" s="257">
        <f t="shared" si="5"/>
        <v>10.26</v>
      </c>
      <c r="J269" s="131"/>
      <c r="K269" s="131"/>
      <c r="L269" s="131"/>
    </row>
    <row r="270" spans="1:12" ht="22.5" x14ac:dyDescent="0.25">
      <c r="A270" s="244" t="s">
        <v>3127</v>
      </c>
      <c r="B270" s="244" t="s">
        <v>1165</v>
      </c>
      <c r="C270" s="244" t="s">
        <v>2882</v>
      </c>
      <c r="D270" s="245" t="s">
        <v>2975</v>
      </c>
      <c r="E270" s="244" t="s">
        <v>1082</v>
      </c>
      <c r="F270" s="256">
        <v>28</v>
      </c>
      <c r="G270" s="256">
        <v>4.88</v>
      </c>
      <c r="H270" s="256">
        <v>6.1</v>
      </c>
      <c r="I270" s="257">
        <f t="shared" si="5"/>
        <v>170.8</v>
      </c>
      <c r="J270" s="131"/>
      <c r="K270" s="131"/>
      <c r="L270" s="131"/>
    </row>
    <row r="271" spans="1:12" ht="22.5" x14ac:dyDescent="0.25">
      <c r="A271" s="244" t="s">
        <v>3128</v>
      </c>
      <c r="B271" s="244" t="s">
        <v>1189</v>
      </c>
      <c r="C271" s="244" t="s">
        <v>2882</v>
      </c>
      <c r="D271" s="245" t="s">
        <v>2977</v>
      </c>
      <c r="E271" s="244" t="s">
        <v>1082</v>
      </c>
      <c r="F271" s="256">
        <v>4</v>
      </c>
      <c r="G271" s="256">
        <v>7.18</v>
      </c>
      <c r="H271" s="256">
        <v>8.9700000000000006</v>
      </c>
      <c r="I271" s="257">
        <f t="shared" si="5"/>
        <v>35.880000000000003</v>
      </c>
      <c r="J271" s="131"/>
      <c r="K271" s="131"/>
      <c r="L271" s="131"/>
    </row>
    <row r="272" spans="1:12" ht="22.5" x14ac:dyDescent="0.25">
      <c r="A272" s="244" t="s">
        <v>3129</v>
      </c>
      <c r="B272" s="244" t="s">
        <v>1168</v>
      </c>
      <c r="C272" s="244" t="s">
        <v>2882</v>
      </c>
      <c r="D272" s="245" t="s">
        <v>2981</v>
      </c>
      <c r="E272" s="244" t="s">
        <v>1082</v>
      </c>
      <c r="F272" s="256">
        <v>33</v>
      </c>
      <c r="G272" s="256">
        <v>8.65</v>
      </c>
      <c r="H272" s="256">
        <v>10.81</v>
      </c>
      <c r="I272" s="257">
        <f t="shared" si="5"/>
        <v>356.73</v>
      </c>
      <c r="J272" s="131"/>
      <c r="K272" s="131"/>
      <c r="L272" s="131"/>
    </row>
    <row r="273" spans="1:12" x14ac:dyDescent="0.25">
      <c r="A273" s="244" t="s">
        <v>3130</v>
      </c>
      <c r="B273" s="244" t="s">
        <v>2987</v>
      </c>
      <c r="C273" s="244" t="s">
        <v>2882</v>
      </c>
      <c r="D273" s="245" t="s">
        <v>2988</v>
      </c>
      <c r="E273" s="244" t="s">
        <v>1082</v>
      </c>
      <c r="F273" s="256">
        <v>21</v>
      </c>
      <c r="G273" s="256">
        <v>72.569999999999993</v>
      </c>
      <c r="H273" s="256">
        <v>90.66</v>
      </c>
      <c r="I273" s="257">
        <f t="shared" si="5"/>
        <v>1903.86</v>
      </c>
      <c r="J273" s="131"/>
      <c r="K273" s="131"/>
      <c r="L273" s="131"/>
    </row>
    <row r="274" spans="1:12" ht="22.5" x14ac:dyDescent="0.25">
      <c r="A274" s="244" t="s">
        <v>3131</v>
      </c>
      <c r="B274" s="244" t="s">
        <v>1372</v>
      </c>
      <c r="C274" s="244" t="s">
        <v>504</v>
      </c>
      <c r="D274" s="245" t="s">
        <v>2992</v>
      </c>
      <c r="E274" s="244" t="s">
        <v>1082</v>
      </c>
      <c r="F274" s="256">
        <v>17</v>
      </c>
      <c r="G274" s="256">
        <v>13.43</v>
      </c>
      <c r="H274" s="256">
        <v>16.78</v>
      </c>
      <c r="I274" s="257">
        <f t="shared" si="5"/>
        <v>285.26</v>
      </c>
      <c r="J274" s="131"/>
      <c r="K274" s="131"/>
      <c r="L274" s="131"/>
    </row>
    <row r="275" spans="1:12" x14ac:dyDescent="0.25">
      <c r="A275" s="244" t="s">
        <v>3132</v>
      </c>
      <c r="B275" s="244" t="s">
        <v>1294</v>
      </c>
      <c r="C275" s="244" t="s">
        <v>2956</v>
      </c>
      <c r="D275" s="245" t="s">
        <v>2994</v>
      </c>
      <c r="E275" s="244" t="s">
        <v>1082</v>
      </c>
      <c r="F275" s="256">
        <v>12</v>
      </c>
      <c r="G275" s="256">
        <v>14.53</v>
      </c>
      <c r="H275" s="256">
        <v>18.149999999999999</v>
      </c>
      <c r="I275" s="257">
        <f t="shared" si="5"/>
        <v>217.8</v>
      </c>
      <c r="J275" s="131"/>
      <c r="K275" s="131"/>
      <c r="L275" s="131"/>
    </row>
    <row r="276" spans="1:12" x14ac:dyDescent="0.25">
      <c r="A276" s="244" t="s">
        <v>3133</v>
      </c>
      <c r="B276" s="244" t="s">
        <v>1291</v>
      </c>
      <c r="C276" s="244" t="s">
        <v>2956</v>
      </c>
      <c r="D276" s="245" t="s">
        <v>2998</v>
      </c>
      <c r="E276" s="244" t="s">
        <v>1082</v>
      </c>
      <c r="F276" s="256">
        <v>5</v>
      </c>
      <c r="G276" s="256">
        <v>5.99</v>
      </c>
      <c r="H276" s="256">
        <v>7.48</v>
      </c>
      <c r="I276" s="257">
        <f t="shared" si="5"/>
        <v>37.4</v>
      </c>
      <c r="J276" s="131"/>
      <c r="K276" s="131"/>
      <c r="L276" s="131"/>
    </row>
    <row r="277" spans="1:12" ht="22.5" x14ac:dyDescent="0.25">
      <c r="A277" s="244" t="s">
        <v>3134</v>
      </c>
      <c r="B277" s="244" t="s">
        <v>1201</v>
      </c>
      <c r="C277" s="244" t="s">
        <v>2882</v>
      </c>
      <c r="D277" s="245" t="s">
        <v>3000</v>
      </c>
      <c r="E277" s="244" t="s">
        <v>1082</v>
      </c>
      <c r="F277" s="256">
        <v>9</v>
      </c>
      <c r="G277" s="256">
        <v>12.04</v>
      </c>
      <c r="H277" s="256">
        <v>15.04</v>
      </c>
      <c r="I277" s="257">
        <f t="shared" si="5"/>
        <v>135.36000000000001</v>
      </c>
      <c r="J277" s="131"/>
      <c r="K277" s="131"/>
      <c r="L277" s="131"/>
    </row>
    <row r="278" spans="1:12" x14ac:dyDescent="0.25">
      <c r="A278" s="244" t="s">
        <v>3135</v>
      </c>
      <c r="B278" s="244" t="s">
        <v>1327</v>
      </c>
      <c r="C278" s="244" t="s">
        <v>2956</v>
      </c>
      <c r="D278" s="245" t="s">
        <v>3002</v>
      </c>
      <c r="E278" s="244" t="s">
        <v>1082</v>
      </c>
      <c r="F278" s="256">
        <v>9</v>
      </c>
      <c r="G278" s="256">
        <v>136.18</v>
      </c>
      <c r="H278" s="256">
        <v>170.13</v>
      </c>
      <c r="I278" s="257">
        <f t="shared" si="5"/>
        <v>1531.17</v>
      </c>
      <c r="J278" s="131"/>
      <c r="K278" s="131"/>
      <c r="L278" s="131"/>
    </row>
    <row r="279" spans="1:12" ht="22.5" x14ac:dyDescent="0.25">
      <c r="A279" s="244" t="s">
        <v>3136</v>
      </c>
      <c r="B279" s="244" t="s">
        <v>1207</v>
      </c>
      <c r="C279" s="244" t="s">
        <v>2882</v>
      </c>
      <c r="D279" s="245" t="s">
        <v>3008</v>
      </c>
      <c r="E279" s="244" t="s">
        <v>1082</v>
      </c>
      <c r="F279" s="256">
        <v>2</v>
      </c>
      <c r="G279" s="256">
        <v>48.35</v>
      </c>
      <c r="H279" s="256">
        <v>60.4</v>
      </c>
      <c r="I279" s="257">
        <f t="shared" si="5"/>
        <v>120.8</v>
      </c>
      <c r="J279" s="131"/>
      <c r="K279" s="131"/>
      <c r="L279" s="131"/>
    </row>
    <row r="280" spans="1:12" x14ac:dyDescent="0.25">
      <c r="A280" s="252" t="s">
        <v>3013</v>
      </c>
      <c r="B280" s="252"/>
      <c r="C280" s="252"/>
      <c r="D280" s="253" t="s">
        <v>3014</v>
      </c>
      <c r="E280" s="252"/>
      <c r="F280" s="254"/>
      <c r="G280" s="255"/>
      <c r="H280" s="255"/>
      <c r="I280" s="255">
        <f>SUM(I281:I290)</f>
        <v>11222.869999999999</v>
      </c>
      <c r="J280" s="131"/>
      <c r="K280" s="131"/>
      <c r="L280" s="131"/>
    </row>
    <row r="281" spans="1:12" x14ac:dyDescent="0.25">
      <c r="A281" s="261" t="s">
        <v>3015</v>
      </c>
      <c r="B281" s="261"/>
      <c r="C281" s="261"/>
      <c r="D281" s="262" t="s">
        <v>3016</v>
      </c>
      <c r="E281" s="261"/>
      <c r="F281" s="263"/>
      <c r="G281" s="263"/>
      <c r="H281" s="263"/>
      <c r="I281" s="257">
        <f t="shared" si="5"/>
        <v>0</v>
      </c>
      <c r="J281" s="131"/>
      <c r="K281" s="131"/>
      <c r="L281" s="131"/>
    </row>
    <row r="282" spans="1:12" x14ac:dyDescent="0.25">
      <c r="A282" s="244" t="s">
        <v>3137</v>
      </c>
      <c r="B282" s="244" t="s">
        <v>1303</v>
      </c>
      <c r="C282" s="244" t="s">
        <v>2956</v>
      </c>
      <c r="D282" s="245" t="s">
        <v>3021</v>
      </c>
      <c r="E282" s="244" t="s">
        <v>473</v>
      </c>
      <c r="F282" s="256">
        <v>65.53</v>
      </c>
      <c r="G282" s="256">
        <v>32.659999999999997</v>
      </c>
      <c r="H282" s="256">
        <v>40.799999999999997</v>
      </c>
      <c r="I282" s="257">
        <f t="shared" si="5"/>
        <v>2673.62</v>
      </c>
      <c r="J282" s="131"/>
      <c r="K282" s="131"/>
      <c r="L282" s="131"/>
    </row>
    <row r="283" spans="1:12" x14ac:dyDescent="0.25">
      <c r="A283" s="244" t="s">
        <v>3138</v>
      </c>
      <c r="B283" s="244" t="s">
        <v>1306</v>
      </c>
      <c r="C283" s="244" t="s">
        <v>2956</v>
      </c>
      <c r="D283" s="245" t="s">
        <v>3023</v>
      </c>
      <c r="E283" s="244" t="s">
        <v>473</v>
      </c>
      <c r="F283" s="256">
        <v>20.13</v>
      </c>
      <c r="G283" s="256">
        <v>47.21</v>
      </c>
      <c r="H283" s="256">
        <v>58.98</v>
      </c>
      <c r="I283" s="257">
        <f t="shared" si="5"/>
        <v>1187.27</v>
      </c>
      <c r="J283" s="131"/>
      <c r="K283" s="131"/>
      <c r="L283" s="131"/>
    </row>
    <row r="284" spans="1:12" ht="22.5" x14ac:dyDescent="0.25">
      <c r="A284" s="244" t="s">
        <v>3139</v>
      </c>
      <c r="B284" s="244" t="s">
        <v>1213</v>
      </c>
      <c r="C284" s="244" t="s">
        <v>2882</v>
      </c>
      <c r="D284" s="245" t="s">
        <v>2959</v>
      </c>
      <c r="E284" s="244" t="s">
        <v>473</v>
      </c>
      <c r="F284" s="256">
        <v>85.66</v>
      </c>
      <c r="G284" s="256">
        <v>7.23</v>
      </c>
      <c r="H284" s="256">
        <v>9.0299999999999994</v>
      </c>
      <c r="I284" s="257">
        <f t="shared" si="5"/>
        <v>773.51</v>
      </c>
      <c r="J284" s="131"/>
      <c r="K284" s="131"/>
      <c r="L284" s="131"/>
    </row>
    <row r="285" spans="1:12" ht="22.5" x14ac:dyDescent="0.25">
      <c r="A285" s="244" t="s">
        <v>3140</v>
      </c>
      <c r="B285" s="244" t="s">
        <v>1216</v>
      </c>
      <c r="C285" s="244" t="s">
        <v>2882</v>
      </c>
      <c r="D285" s="245" t="s">
        <v>2961</v>
      </c>
      <c r="E285" s="244" t="s">
        <v>473</v>
      </c>
      <c r="F285" s="256">
        <v>85.66</v>
      </c>
      <c r="G285" s="256">
        <v>7.28</v>
      </c>
      <c r="H285" s="256">
        <v>9.09</v>
      </c>
      <c r="I285" s="257">
        <f t="shared" si="5"/>
        <v>778.65</v>
      </c>
      <c r="J285" s="131"/>
      <c r="K285" s="131"/>
      <c r="L285" s="131"/>
    </row>
    <row r="286" spans="1:12" x14ac:dyDescent="0.25">
      <c r="A286" s="261" t="s">
        <v>3032</v>
      </c>
      <c r="B286" s="261"/>
      <c r="C286" s="261"/>
      <c r="D286" s="262" t="s">
        <v>3033</v>
      </c>
      <c r="E286" s="261"/>
      <c r="F286" s="263"/>
      <c r="G286" s="263"/>
      <c r="H286" s="263"/>
      <c r="I286" s="257">
        <f t="shared" si="5"/>
        <v>0</v>
      </c>
      <c r="J286" s="131"/>
      <c r="K286" s="131"/>
      <c r="L286" s="131"/>
    </row>
    <row r="287" spans="1:12" x14ac:dyDescent="0.25">
      <c r="A287" s="244" t="s">
        <v>3141</v>
      </c>
      <c r="B287" s="244" t="s">
        <v>1303</v>
      </c>
      <c r="C287" s="244" t="s">
        <v>2956</v>
      </c>
      <c r="D287" s="245" t="s">
        <v>3021</v>
      </c>
      <c r="E287" s="244" t="s">
        <v>473</v>
      </c>
      <c r="F287" s="256">
        <v>72.12</v>
      </c>
      <c r="G287" s="256">
        <v>32.659999999999997</v>
      </c>
      <c r="H287" s="256">
        <v>40.799999999999997</v>
      </c>
      <c r="I287" s="257">
        <f t="shared" si="5"/>
        <v>2942.5</v>
      </c>
      <c r="J287" s="131"/>
      <c r="K287" s="131"/>
      <c r="L287" s="131"/>
    </row>
    <row r="288" spans="1:12" x14ac:dyDescent="0.25">
      <c r="A288" s="244" t="s">
        <v>3142</v>
      </c>
      <c r="B288" s="244" t="s">
        <v>1306</v>
      </c>
      <c r="C288" s="244" t="s">
        <v>2956</v>
      </c>
      <c r="D288" s="245" t="s">
        <v>3023</v>
      </c>
      <c r="E288" s="244" t="s">
        <v>473</v>
      </c>
      <c r="F288" s="256">
        <v>20.239999999999998</v>
      </c>
      <c r="G288" s="256">
        <v>47.21</v>
      </c>
      <c r="H288" s="256">
        <v>58.98</v>
      </c>
      <c r="I288" s="257">
        <f t="shared" si="5"/>
        <v>1193.76</v>
      </c>
      <c r="J288" s="131"/>
      <c r="K288" s="131"/>
      <c r="L288" s="131"/>
    </row>
    <row r="289" spans="1:12" ht="22.5" x14ac:dyDescent="0.25">
      <c r="A289" s="244" t="s">
        <v>3143</v>
      </c>
      <c r="B289" s="244" t="s">
        <v>1213</v>
      </c>
      <c r="C289" s="244" t="s">
        <v>2882</v>
      </c>
      <c r="D289" s="245" t="s">
        <v>2959</v>
      </c>
      <c r="E289" s="244" t="s">
        <v>473</v>
      </c>
      <c r="F289" s="256">
        <v>92.36</v>
      </c>
      <c r="G289" s="256">
        <v>7.23</v>
      </c>
      <c r="H289" s="256">
        <v>9.0299999999999994</v>
      </c>
      <c r="I289" s="257">
        <f t="shared" si="5"/>
        <v>834.01</v>
      </c>
      <c r="J289" s="131"/>
      <c r="K289" s="131"/>
      <c r="L289" s="131"/>
    </row>
    <row r="290" spans="1:12" ht="22.5" x14ac:dyDescent="0.25">
      <c r="A290" s="244" t="s">
        <v>3144</v>
      </c>
      <c r="B290" s="244" t="s">
        <v>1216</v>
      </c>
      <c r="C290" s="244" t="s">
        <v>2882</v>
      </c>
      <c r="D290" s="245" t="s">
        <v>2961</v>
      </c>
      <c r="E290" s="244" t="s">
        <v>473</v>
      </c>
      <c r="F290" s="256">
        <v>92.36</v>
      </c>
      <c r="G290" s="256">
        <v>7.28</v>
      </c>
      <c r="H290" s="256">
        <v>9.09</v>
      </c>
      <c r="I290" s="257">
        <f t="shared" si="5"/>
        <v>839.55</v>
      </c>
      <c r="J290" s="131"/>
      <c r="K290" s="131"/>
      <c r="L290" s="131"/>
    </row>
    <row r="291" spans="1:12" x14ac:dyDescent="0.25">
      <c r="A291" s="252" t="s">
        <v>3041</v>
      </c>
      <c r="B291" s="252"/>
      <c r="C291" s="252"/>
      <c r="D291" s="253" t="s">
        <v>3042</v>
      </c>
      <c r="E291" s="252"/>
      <c r="F291" s="254"/>
      <c r="G291" s="255"/>
      <c r="H291" s="255"/>
      <c r="I291" s="255">
        <f>SUM(I292:I297)</f>
        <v>1049.3499999999999</v>
      </c>
      <c r="J291" s="131"/>
      <c r="K291" s="131"/>
      <c r="L291" s="131"/>
    </row>
    <row r="292" spans="1:12" ht="22.5" x14ac:dyDescent="0.25">
      <c r="A292" s="244" t="s">
        <v>3145</v>
      </c>
      <c r="B292" s="244" t="s">
        <v>1231</v>
      </c>
      <c r="C292" s="244" t="s">
        <v>2882</v>
      </c>
      <c r="D292" s="245" t="s">
        <v>3108</v>
      </c>
      <c r="E292" s="244" t="s">
        <v>1082</v>
      </c>
      <c r="F292" s="256">
        <v>2</v>
      </c>
      <c r="G292" s="256">
        <v>12.02</v>
      </c>
      <c r="H292" s="256">
        <v>15.02</v>
      </c>
      <c r="I292" s="257">
        <f t="shared" si="5"/>
        <v>30.04</v>
      </c>
      <c r="J292" s="131"/>
      <c r="K292" s="131"/>
      <c r="L292" s="131"/>
    </row>
    <row r="293" spans="1:12" ht="22.5" x14ac:dyDescent="0.25">
      <c r="A293" s="244" t="s">
        <v>3146</v>
      </c>
      <c r="B293" s="244" t="s">
        <v>1225</v>
      </c>
      <c r="C293" s="244" t="s">
        <v>2882</v>
      </c>
      <c r="D293" s="245" t="s">
        <v>3052</v>
      </c>
      <c r="E293" s="244" t="s">
        <v>1082</v>
      </c>
      <c r="F293" s="256">
        <v>9</v>
      </c>
      <c r="G293" s="256">
        <v>12.13</v>
      </c>
      <c r="H293" s="256">
        <v>15.15</v>
      </c>
      <c r="I293" s="257">
        <f t="shared" si="5"/>
        <v>136.35</v>
      </c>
      <c r="J293" s="131"/>
      <c r="K293" s="131"/>
      <c r="L293" s="131"/>
    </row>
    <row r="294" spans="1:12" ht="22.5" x14ac:dyDescent="0.25">
      <c r="A294" s="244" t="s">
        <v>3147</v>
      </c>
      <c r="B294" s="244" t="s">
        <v>1228</v>
      </c>
      <c r="C294" s="244" t="s">
        <v>2882</v>
      </c>
      <c r="D294" s="245" t="s">
        <v>3054</v>
      </c>
      <c r="E294" s="244" t="s">
        <v>1082</v>
      </c>
      <c r="F294" s="256">
        <v>2</v>
      </c>
      <c r="G294" s="256">
        <v>17.670000000000002</v>
      </c>
      <c r="H294" s="256">
        <v>22.08</v>
      </c>
      <c r="I294" s="257">
        <f t="shared" si="5"/>
        <v>44.16</v>
      </c>
      <c r="J294" s="131"/>
      <c r="K294" s="131"/>
      <c r="L294" s="131"/>
    </row>
    <row r="295" spans="1:12" ht="22.5" x14ac:dyDescent="0.25">
      <c r="A295" s="244" t="s">
        <v>3148</v>
      </c>
      <c r="B295" s="244" t="s">
        <v>1210</v>
      </c>
      <c r="C295" s="244" t="s">
        <v>2882</v>
      </c>
      <c r="D295" s="245" t="s">
        <v>3058</v>
      </c>
      <c r="E295" s="244" t="s">
        <v>1082</v>
      </c>
      <c r="F295" s="256">
        <v>8</v>
      </c>
      <c r="G295" s="256">
        <v>50.84</v>
      </c>
      <c r="H295" s="256">
        <v>63.51</v>
      </c>
      <c r="I295" s="257">
        <f t="shared" si="5"/>
        <v>508.08</v>
      </c>
      <c r="J295" s="131"/>
      <c r="K295" s="131"/>
      <c r="L295" s="131"/>
    </row>
    <row r="296" spans="1:12" x14ac:dyDescent="0.25">
      <c r="A296" s="244" t="s">
        <v>3149</v>
      </c>
      <c r="B296" s="244" t="s">
        <v>1279</v>
      </c>
      <c r="C296" s="244" t="s">
        <v>2956</v>
      </c>
      <c r="D296" s="245" t="s">
        <v>3061</v>
      </c>
      <c r="E296" s="244" t="s">
        <v>1082</v>
      </c>
      <c r="F296" s="256">
        <v>12</v>
      </c>
      <c r="G296" s="256">
        <v>12.15</v>
      </c>
      <c r="H296" s="256">
        <v>15.18</v>
      </c>
      <c r="I296" s="257">
        <f t="shared" si="5"/>
        <v>182.16</v>
      </c>
      <c r="J296" s="131"/>
      <c r="K296" s="131"/>
      <c r="L296" s="131"/>
    </row>
    <row r="297" spans="1:12" x14ac:dyDescent="0.25">
      <c r="A297" s="244" t="s">
        <v>3150</v>
      </c>
      <c r="B297" s="244" t="s">
        <v>1369</v>
      </c>
      <c r="C297" s="244" t="s">
        <v>504</v>
      </c>
      <c r="D297" s="245" t="s">
        <v>3109</v>
      </c>
      <c r="E297" s="244" t="s">
        <v>1082</v>
      </c>
      <c r="F297" s="256">
        <v>4</v>
      </c>
      <c r="G297" s="256">
        <v>29.73</v>
      </c>
      <c r="H297" s="256">
        <v>37.14</v>
      </c>
      <c r="I297" s="257">
        <f t="shared" si="5"/>
        <v>148.56</v>
      </c>
      <c r="J297" s="131"/>
      <c r="K297" s="131"/>
      <c r="L297" s="131"/>
    </row>
    <row r="298" spans="1:12" x14ac:dyDescent="0.25">
      <c r="A298" s="252" t="s">
        <v>3068</v>
      </c>
      <c r="B298" s="252"/>
      <c r="C298" s="252"/>
      <c r="D298" s="253" t="s">
        <v>3069</v>
      </c>
      <c r="E298" s="252"/>
      <c r="F298" s="254"/>
      <c r="G298" s="255"/>
      <c r="H298" s="255"/>
      <c r="I298" s="255">
        <f>SUM(I299:I310)</f>
        <v>32954.78</v>
      </c>
      <c r="J298" s="131"/>
      <c r="K298" s="131"/>
      <c r="L298" s="131"/>
    </row>
    <row r="299" spans="1:12" x14ac:dyDescent="0.25">
      <c r="A299" s="244" t="s">
        <v>3151</v>
      </c>
      <c r="B299" s="244" t="s">
        <v>3071</v>
      </c>
      <c r="C299" s="244" t="s">
        <v>2956</v>
      </c>
      <c r="D299" s="245" t="s">
        <v>3072</v>
      </c>
      <c r="E299" s="244" t="s">
        <v>1082</v>
      </c>
      <c r="F299" s="256">
        <v>8</v>
      </c>
      <c r="G299" s="256">
        <v>195.08</v>
      </c>
      <c r="H299" s="256">
        <v>243.71</v>
      </c>
      <c r="I299" s="257">
        <f t="shared" si="5"/>
        <v>1949.68</v>
      </c>
      <c r="J299" s="131"/>
      <c r="K299" s="131"/>
      <c r="L299" s="131"/>
    </row>
    <row r="300" spans="1:12" ht="33.75" x14ac:dyDescent="0.25">
      <c r="A300" s="244" t="s">
        <v>3152</v>
      </c>
      <c r="B300" s="244" t="s">
        <v>3074</v>
      </c>
      <c r="C300" s="244" t="s">
        <v>2882</v>
      </c>
      <c r="D300" s="245" t="s">
        <v>3075</v>
      </c>
      <c r="E300" s="244" t="s">
        <v>1082</v>
      </c>
      <c r="F300" s="256">
        <v>13</v>
      </c>
      <c r="G300" s="256">
        <v>313.45999999999998</v>
      </c>
      <c r="H300" s="256">
        <v>391.61</v>
      </c>
      <c r="I300" s="257">
        <f t="shared" si="5"/>
        <v>5090.93</v>
      </c>
      <c r="J300" s="131"/>
      <c r="K300" s="131"/>
      <c r="L300" s="131"/>
    </row>
    <row r="301" spans="1:12" x14ac:dyDescent="0.25">
      <c r="A301" s="244" t="s">
        <v>3153</v>
      </c>
      <c r="B301" s="244" t="s">
        <v>1240</v>
      </c>
      <c r="C301" s="244" t="s">
        <v>2956</v>
      </c>
      <c r="D301" s="245" t="s">
        <v>3077</v>
      </c>
      <c r="E301" s="244" t="s">
        <v>1082</v>
      </c>
      <c r="F301" s="256">
        <v>2</v>
      </c>
      <c r="G301" s="256">
        <v>1878.84</v>
      </c>
      <c r="H301" s="256">
        <v>2347.23</v>
      </c>
      <c r="I301" s="257">
        <f t="shared" si="5"/>
        <v>4694.46</v>
      </c>
      <c r="J301" s="131"/>
      <c r="K301" s="131"/>
      <c r="L301" s="131"/>
    </row>
    <row r="302" spans="1:12" x14ac:dyDescent="0.25">
      <c r="A302" s="244" t="s">
        <v>3154</v>
      </c>
      <c r="B302" s="244" t="s">
        <v>1339</v>
      </c>
      <c r="C302" s="244" t="s">
        <v>2956</v>
      </c>
      <c r="D302" s="245" t="s">
        <v>3079</v>
      </c>
      <c r="E302" s="244" t="s">
        <v>1082</v>
      </c>
      <c r="F302" s="256">
        <v>3</v>
      </c>
      <c r="G302" s="256">
        <v>87.71</v>
      </c>
      <c r="H302" s="256">
        <v>109.58</v>
      </c>
      <c r="I302" s="257">
        <f t="shared" si="5"/>
        <v>328.74</v>
      </c>
      <c r="J302" s="131"/>
      <c r="K302" s="131"/>
      <c r="L302" s="131"/>
    </row>
    <row r="303" spans="1:12" ht="33.75" x14ac:dyDescent="0.25">
      <c r="A303" s="244" t="s">
        <v>3155</v>
      </c>
      <c r="B303" s="244" t="s">
        <v>1204</v>
      </c>
      <c r="C303" s="244" t="s">
        <v>2882</v>
      </c>
      <c r="D303" s="245" t="s">
        <v>3081</v>
      </c>
      <c r="E303" s="244" t="s">
        <v>1082</v>
      </c>
      <c r="F303" s="256">
        <v>3</v>
      </c>
      <c r="G303" s="256">
        <v>184.57</v>
      </c>
      <c r="H303" s="256">
        <v>230.58</v>
      </c>
      <c r="I303" s="257">
        <f t="shared" si="5"/>
        <v>691.74</v>
      </c>
      <c r="J303" s="131"/>
      <c r="K303" s="131"/>
      <c r="L303" s="131"/>
    </row>
    <row r="304" spans="1:12" x14ac:dyDescent="0.25">
      <c r="A304" s="244" t="s">
        <v>3156</v>
      </c>
      <c r="B304" s="244" t="s">
        <v>1255</v>
      </c>
      <c r="C304" s="244" t="s">
        <v>2956</v>
      </c>
      <c r="D304" s="245" t="s">
        <v>3083</v>
      </c>
      <c r="E304" s="244" t="s">
        <v>1082</v>
      </c>
      <c r="F304" s="256">
        <v>6</v>
      </c>
      <c r="G304" s="256">
        <v>58.28</v>
      </c>
      <c r="H304" s="256">
        <v>72.81</v>
      </c>
      <c r="I304" s="257">
        <f t="shared" si="5"/>
        <v>436.86</v>
      </c>
      <c r="J304" s="131"/>
      <c r="K304" s="131"/>
      <c r="L304" s="131"/>
    </row>
    <row r="305" spans="1:12" x14ac:dyDescent="0.25">
      <c r="A305" s="244" t="s">
        <v>3157</v>
      </c>
      <c r="B305" s="244" t="s">
        <v>1258</v>
      </c>
      <c r="C305" s="244" t="s">
        <v>2956</v>
      </c>
      <c r="D305" s="245" t="s">
        <v>3088</v>
      </c>
      <c r="E305" s="244" t="s">
        <v>1082</v>
      </c>
      <c r="F305" s="256">
        <v>2</v>
      </c>
      <c r="G305" s="256">
        <v>182.59</v>
      </c>
      <c r="H305" s="256">
        <v>228.11</v>
      </c>
      <c r="I305" s="257">
        <f t="shared" si="5"/>
        <v>456.22</v>
      </c>
      <c r="J305" s="131"/>
      <c r="K305" s="131"/>
      <c r="L305" s="131"/>
    </row>
    <row r="306" spans="1:12" ht="45" x14ac:dyDescent="0.25">
      <c r="A306" s="244" t="s">
        <v>3158</v>
      </c>
      <c r="B306" s="244" t="s">
        <v>3090</v>
      </c>
      <c r="C306" s="244" t="s">
        <v>2882</v>
      </c>
      <c r="D306" s="245" t="s">
        <v>3091</v>
      </c>
      <c r="E306" s="244" t="s">
        <v>1082</v>
      </c>
      <c r="F306" s="256">
        <v>25</v>
      </c>
      <c r="G306" s="256">
        <v>399.47</v>
      </c>
      <c r="H306" s="256">
        <v>499.06</v>
      </c>
      <c r="I306" s="257">
        <f t="shared" si="5"/>
        <v>12476.5</v>
      </c>
      <c r="J306" s="131"/>
      <c r="K306" s="131"/>
      <c r="L306" s="131"/>
    </row>
    <row r="307" spans="1:12" x14ac:dyDescent="0.25">
      <c r="A307" s="244" t="s">
        <v>3159</v>
      </c>
      <c r="B307" s="244" t="s">
        <v>3093</v>
      </c>
      <c r="C307" s="244" t="s">
        <v>2956</v>
      </c>
      <c r="D307" s="245" t="s">
        <v>3094</v>
      </c>
      <c r="E307" s="244" t="s">
        <v>1082</v>
      </c>
      <c r="F307" s="256">
        <v>6</v>
      </c>
      <c r="G307" s="256">
        <v>697.79</v>
      </c>
      <c r="H307" s="256">
        <v>871.75</v>
      </c>
      <c r="I307" s="257">
        <f t="shared" si="5"/>
        <v>5230.5</v>
      </c>
      <c r="J307" s="131"/>
      <c r="K307" s="131"/>
      <c r="L307" s="131"/>
    </row>
    <row r="308" spans="1:12" ht="33.75" x14ac:dyDescent="0.25">
      <c r="A308" s="244" t="s">
        <v>3160</v>
      </c>
      <c r="B308" s="244" t="s">
        <v>3096</v>
      </c>
      <c r="C308" s="244" t="s">
        <v>2882</v>
      </c>
      <c r="D308" s="245" t="s">
        <v>3097</v>
      </c>
      <c r="E308" s="244" t="s">
        <v>1082</v>
      </c>
      <c r="F308" s="256">
        <v>1</v>
      </c>
      <c r="G308" s="256">
        <v>509.25</v>
      </c>
      <c r="H308" s="256">
        <v>636.21</v>
      </c>
      <c r="I308" s="257">
        <f t="shared" si="5"/>
        <v>636.21</v>
      </c>
      <c r="J308" s="131"/>
      <c r="K308" s="131"/>
      <c r="L308" s="131"/>
    </row>
    <row r="309" spans="1:12" ht="22.5" x14ac:dyDescent="0.25">
      <c r="A309" s="244" t="s">
        <v>3161</v>
      </c>
      <c r="B309" s="244" t="s">
        <v>3099</v>
      </c>
      <c r="C309" s="244" t="s">
        <v>2882</v>
      </c>
      <c r="D309" s="245" t="s">
        <v>3100</v>
      </c>
      <c r="E309" s="244" t="s">
        <v>1082</v>
      </c>
      <c r="F309" s="256">
        <v>6</v>
      </c>
      <c r="G309" s="256">
        <v>65.760000000000005</v>
      </c>
      <c r="H309" s="256">
        <v>82.15</v>
      </c>
      <c r="I309" s="257">
        <f t="shared" si="5"/>
        <v>492.9</v>
      </c>
      <c r="J309" s="131"/>
      <c r="K309" s="131"/>
      <c r="L309" s="131"/>
    </row>
    <row r="310" spans="1:12" ht="33.75" x14ac:dyDescent="0.25">
      <c r="A310" s="244" t="s">
        <v>3162</v>
      </c>
      <c r="B310" s="244" t="s">
        <v>3119</v>
      </c>
      <c r="C310" s="244" t="s">
        <v>2882</v>
      </c>
      <c r="D310" s="245" t="s">
        <v>3120</v>
      </c>
      <c r="E310" s="244" t="s">
        <v>1082</v>
      </c>
      <c r="F310" s="256">
        <v>1</v>
      </c>
      <c r="G310" s="256">
        <v>376.24</v>
      </c>
      <c r="H310" s="256">
        <v>470.04</v>
      </c>
      <c r="I310" s="257">
        <f t="shared" si="5"/>
        <v>470.04</v>
      </c>
      <c r="J310" s="131"/>
      <c r="K310" s="131"/>
      <c r="L310" s="131"/>
    </row>
    <row r="311" spans="1:12" x14ac:dyDescent="0.25">
      <c r="A311" s="660" t="s">
        <v>2945</v>
      </c>
      <c r="B311" s="660"/>
      <c r="C311" s="660"/>
      <c r="D311" s="250" t="s">
        <v>3163</v>
      </c>
      <c r="E311" s="660"/>
      <c r="F311" s="260"/>
      <c r="G311" s="260"/>
      <c r="H311" s="260"/>
      <c r="I311" s="260"/>
      <c r="J311" s="131"/>
      <c r="K311" s="131"/>
      <c r="L311" s="131"/>
    </row>
    <row r="312" spans="1:12" x14ac:dyDescent="0.25">
      <c r="A312" s="252" t="s">
        <v>2947</v>
      </c>
      <c r="B312" s="252"/>
      <c r="C312" s="252"/>
      <c r="D312" s="253" t="s">
        <v>2948</v>
      </c>
      <c r="E312" s="252"/>
      <c r="F312" s="254"/>
      <c r="G312" s="255"/>
      <c r="H312" s="255"/>
      <c r="I312" s="255">
        <f>SUM(I313:I316)</f>
        <v>2847</v>
      </c>
      <c r="J312" s="131"/>
      <c r="K312" s="131"/>
      <c r="L312" s="131"/>
    </row>
    <row r="313" spans="1:12" ht="22.5" x14ac:dyDescent="0.25">
      <c r="A313" s="244" t="s">
        <v>2949</v>
      </c>
      <c r="B313" s="244" t="s">
        <v>1162</v>
      </c>
      <c r="C313" s="244" t="s">
        <v>2882</v>
      </c>
      <c r="D313" s="245" t="s">
        <v>2950</v>
      </c>
      <c r="E313" s="244" t="s">
        <v>473</v>
      </c>
      <c r="F313" s="256">
        <v>45.07</v>
      </c>
      <c r="G313" s="256">
        <v>11.78</v>
      </c>
      <c r="H313" s="256">
        <v>14.72</v>
      </c>
      <c r="I313" s="257">
        <f>ROUND(F313*H313,2)</f>
        <v>663.43</v>
      </c>
      <c r="J313" s="131"/>
      <c r="K313" s="131"/>
      <c r="L313" s="131"/>
    </row>
    <row r="314" spans="1:12" ht="22.5" x14ac:dyDescent="0.25">
      <c r="A314" s="244" t="s">
        <v>3122</v>
      </c>
      <c r="B314" s="244" t="s">
        <v>1177</v>
      </c>
      <c r="C314" s="244" t="s">
        <v>2882</v>
      </c>
      <c r="D314" s="245" t="s">
        <v>2952</v>
      </c>
      <c r="E314" s="244" t="s">
        <v>473</v>
      </c>
      <c r="F314" s="256">
        <v>46.21</v>
      </c>
      <c r="G314" s="256">
        <v>9.17</v>
      </c>
      <c r="H314" s="256">
        <v>11.46</v>
      </c>
      <c r="I314" s="257">
        <f t="shared" ref="I314:I350" si="6">ROUND(F314*H314,2)</f>
        <v>529.57000000000005</v>
      </c>
      <c r="J314" s="131"/>
      <c r="K314" s="131"/>
      <c r="L314" s="131"/>
    </row>
    <row r="315" spans="1:12" ht="22.5" x14ac:dyDescent="0.25">
      <c r="A315" s="244" t="s">
        <v>3123</v>
      </c>
      <c r="B315" s="244" t="s">
        <v>1213</v>
      </c>
      <c r="C315" s="244" t="s">
        <v>2882</v>
      </c>
      <c r="D315" s="245" t="s">
        <v>2959</v>
      </c>
      <c r="E315" s="244" t="s">
        <v>473</v>
      </c>
      <c r="F315" s="256">
        <v>91.28</v>
      </c>
      <c r="G315" s="256">
        <v>7.23</v>
      </c>
      <c r="H315" s="256">
        <v>9.0299999999999994</v>
      </c>
      <c r="I315" s="257">
        <f t="shared" si="6"/>
        <v>824.26</v>
      </c>
      <c r="J315" s="131"/>
      <c r="K315" s="131"/>
      <c r="L315" s="131"/>
    </row>
    <row r="316" spans="1:12" ht="22.5" x14ac:dyDescent="0.25">
      <c r="A316" s="244" t="s">
        <v>3124</v>
      </c>
      <c r="B316" s="244" t="s">
        <v>1216</v>
      </c>
      <c r="C316" s="244" t="s">
        <v>2882</v>
      </c>
      <c r="D316" s="245" t="s">
        <v>2961</v>
      </c>
      <c r="E316" s="244" t="s">
        <v>473</v>
      </c>
      <c r="F316" s="256">
        <v>91.28</v>
      </c>
      <c r="G316" s="256">
        <v>7.28</v>
      </c>
      <c r="H316" s="256">
        <v>9.09</v>
      </c>
      <c r="I316" s="257">
        <f t="shared" si="6"/>
        <v>829.74</v>
      </c>
      <c r="J316" s="131"/>
      <c r="K316" s="131"/>
      <c r="L316" s="131"/>
    </row>
    <row r="317" spans="1:12" x14ac:dyDescent="0.25">
      <c r="A317" s="252" t="s">
        <v>2962</v>
      </c>
      <c r="B317" s="252"/>
      <c r="C317" s="252"/>
      <c r="D317" s="253" t="s">
        <v>2963</v>
      </c>
      <c r="E317" s="252"/>
      <c r="F317" s="254"/>
      <c r="G317" s="255"/>
      <c r="H317" s="255"/>
      <c r="I317" s="255">
        <f>SUM(I318:I333)</f>
        <v>2772.89</v>
      </c>
      <c r="J317" s="131"/>
      <c r="K317" s="131"/>
      <c r="L317" s="131"/>
    </row>
    <row r="318" spans="1:12" x14ac:dyDescent="0.25">
      <c r="A318" s="244" t="s">
        <v>2964</v>
      </c>
      <c r="B318" s="244" t="s">
        <v>1243</v>
      </c>
      <c r="C318" s="244" t="s">
        <v>2956</v>
      </c>
      <c r="D318" s="245" t="s">
        <v>2965</v>
      </c>
      <c r="E318" s="244" t="s">
        <v>1082</v>
      </c>
      <c r="F318" s="256">
        <v>4</v>
      </c>
      <c r="G318" s="256">
        <v>7.54</v>
      </c>
      <c r="H318" s="256">
        <v>9.42</v>
      </c>
      <c r="I318" s="257">
        <f t="shared" si="6"/>
        <v>37.68</v>
      </c>
      <c r="J318" s="131"/>
      <c r="K318" s="131"/>
      <c r="L318" s="131"/>
    </row>
    <row r="319" spans="1:12" ht="22.5" x14ac:dyDescent="0.25">
      <c r="A319" s="244" t="s">
        <v>3125</v>
      </c>
      <c r="B319" s="244" t="s">
        <v>1186</v>
      </c>
      <c r="C319" s="244" t="s">
        <v>2882</v>
      </c>
      <c r="D319" s="245" t="s">
        <v>2971</v>
      </c>
      <c r="E319" s="244" t="s">
        <v>1082</v>
      </c>
      <c r="F319" s="256">
        <v>1</v>
      </c>
      <c r="G319" s="256">
        <v>2.99</v>
      </c>
      <c r="H319" s="256">
        <v>3.74</v>
      </c>
      <c r="I319" s="257">
        <f t="shared" si="6"/>
        <v>3.74</v>
      </c>
      <c r="J319" s="131"/>
      <c r="K319" s="131"/>
      <c r="L319" s="131"/>
    </row>
    <row r="320" spans="1:12" ht="22.5" x14ac:dyDescent="0.25">
      <c r="A320" s="244" t="s">
        <v>3126</v>
      </c>
      <c r="B320" s="244" t="s">
        <v>1192</v>
      </c>
      <c r="C320" s="244" t="s">
        <v>2882</v>
      </c>
      <c r="D320" s="245" t="s">
        <v>2973</v>
      </c>
      <c r="E320" s="244" t="s">
        <v>1082</v>
      </c>
      <c r="F320" s="256">
        <v>3</v>
      </c>
      <c r="G320" s="256">
        <v>8.2100000000000009</v>
      </c>
      <c r="H320" s="256">
        <v>10.26</v>
      </c>
      <c r="I320" s="257">
        <f t="shared" si="6"/>
        <v>30.78</v>
      </c>
      <c r="J320" s="131"/>
      <c r="K320" s="131"/>
      <c r="L320" s="131"/>
    </row>
    <row r="321" spans="1:12" ht="22.5" x14ac:dyDescent="0.25">
      <c r="A321" s="244" t="s">
        <v>3127</v>
      </c>
      <c r="B321" s="244" t="s">
        <v>1165</v>
      </c>
      <c r="C321" s="244" t="s">
        <v>2882</v>
      </c>
      <c r="D321" s="245" t="s">
        <v>2975</v>
      </c>
      <c r="E321" s="244" t="s">
        <v>1082</v>
      </c>
      <c r="F321" s="256">
        <v>9</v>
      </c>
      <c r="G321" s="256">
        <v>4.88</v>
      </c>
      <c r="H321" s="256">
        <v>6.1</v>
      </c>
      <c r="I321" s="257">
        <f t="shared" si="6"/>
        <v>54.9</v>
      </c>
      <c r="J321" s="131"/>
      <c r="K321" s="131"/>
      <c r="L321" s="131"/>
    </row>
    <row r="322" spans="1:12" ht="22.5" x14ac:dyDescent="0.25">
      <c r="A322" s="244" t="s">
        <v>3128</v>
      </c>
      <c r="B322" s="244" t="s">
        <v>1189</v>
      </c>
      <c r="C322" s="244" t="s">
        <v>2882</v>
      </c>
      <c r="D322" s="245" t="s">
        <v>2977</v>
      </c>
      <c r="E322" s="244" t="s">
        <v>1082</v>
      </c>
      <c r="F322" s="256">
        <v>1</v>
      </c>
      <c r="G322" s="256">
        <v>7.18</v>
      </c>
      <c r="H322" s="256">
        <v>8.9700000000000006</v>
      </c>
      <c r="I322" s="257">
        <f t="shared" si="6"/>
        <v>8.9700000000000006</v>
      </c>
      <c r="J322" s="131"/>
      <c r="K322" s="131"/>
      <c r="L322" s="131"/>
    </row>
    <row r="323" spans="1:12" ht="22.5" x14ac:dyDescent="0.25">
      <c r="A323" s="244" t="s">
        <v>3129</v>
      </c>
      <c r="B323" s="244" t="s">
        <v>1168</v>
      </c>
      <c r="C323" s="244" t="s">
        <v>2882</v>
      </c>
      <c r="D323" s="245" t="s">
        <v>2981</v>
      </c>
      <c r="E323" s="244" t="s">
        <v>1082</v>
      </c>
      <c r="F323" s="256">
        <v>12</v>
      </c>
      <c r="G323" s="256">
        <v>8.65</v>
      </c>
      <c r="H323" s="256">
        <v>10.81</v>
      </c>
      <c r="I323" s="257">
        <f t="shared" si="6"/>
        <v>129.72</v>
      </c>
      <c r="J323" s="131"/>
      <c r="K323" s="131"/>
      <c r="L323" s="131"/>
    </row>
    <row r="324" spans="1:12" x14ac:dyDescent="0.25">
      <c r="A324" s="244" t="s">
        <v>3130</v>
      </c>
      <c r="B324" s="244" t="s">
        <v>1267</v>
      </c>
      <c r="C324" s="244" t="s">
        <v>2956</v>
      </c>
      <c r="D324" s="245" t="s">
        <v>3118</v>
      </c>
      <c r="E324" s="244" t="s">
        <v>1082</v>
      </c>
      <c r="F324" s="256">
        <v>1</v>
      </c>
      <c r="G324" s="256">
        <v>5.91</v>
      </c>
      <c r="H324" s="256">
        <v>7.38</v>
      </c>
      <c r="I324" s="257">
        <f t="shared" si="6"/>
        <v>7.38</v>
      </c>
      <c r="J324" s="131"/>
      <c r="K324" s="131"/>
      <c r="L324" s="131"/>
    </row>
    <row r="325" spans="1:12" x14ac:dyDescent="0.25">
      <c r="A325" s="244" t="s">
        <v>3131</v>
      </c>
      <c r="B325" s="244" t="s">
        <v>2987</v>
      </c>
      <c r="C325" s="244" t="s">
        <v>2882</v>
      </c>
      <c r="D325" s="245" t="s">
        <v>2988</v>
      </c>
      <c r="E325" s="244" t="s">
        <v>1082</v>
      </c>
      <c r="F325" s="256">
        <v>11</v>
      </c>
      <c r="G325" s="256">
        <v>72.569999999999993</v>
      </c>
      <c r="H325" s="256">
        <v>90.66</v>
      </c>
      <c r="I325" s="257">
        <f t="shared" si="6"/>
        <v>997.26</v>
      </c>
      <c r="J325" s="131"/>
      <c r="K325" s="131"/>
      <c r="L325" s="131"/>
    </row>
    <row r="326" spans="1:12" x14ac:dyDescent="0.25">
      <c r="A326" s="244" t="s">
        <v>3132</v>
      </c>
      <c r="B326" s="244" t="s">
        <v>1273</v>
      </c>
      <c r="C326" s="244" t="s">
        <v>2956</v>
      </c>
      <c r="D326" s="245" t="s">
        <v>2990</v>
      </c>
      <c r="E326" s="244" t="s">
        <v>1082</v>
      </c>
      <c r="F326" s="256">
        <v>2</v>
      </c>
      <c r="G326" s="256">
        <v>108.52</v>
      </c>
      <c r="H326" s="256">
        <v>135.57</v>
      </c>
      <c r="I326" s="257">
        <f t="shared" si="6"/>
        <v>271.14</v>
      </c>
      <c r="J326" s="131"/>
      <c r="K326" s="131"/>
      <c r="L326" s="131"/>
    </row>
    <row r="327" spans="1:12" ht="22.5" x14ac:dyDescent="0.25">
      <c r="A327" s="244" t="s">
        <v>3133</v>
      </c>
      <c r="B327" s="244" t="s">
        <v>1372</v>
      </c>
      <c r="C327" s="244" t="s">
        <v>3164</v>
      </c>
      <c r="D327" s="245" t="s">
        <v>2992</v>
      </c>
      <c r="E327" s="244" t="s">
        <v>1082</v>
      </c>
      <c r="F327" s="256">
        <v>4</v>
      </c>
      <c r="G327" s="256">
        <v>13.43</v>
      </c>
      <c r="H327" s="256">
        <v>16.78</v>
      </c>
      <c r="I327" s="257">
        <f t="shared" si="6"/>
        <v>67.12</v>
      </c>
      <c r="J327" s="131"/>
      <c r="K327" s="131"/>
      <c r="L327" s="131"/>
    </row>
    <row r="328" spans="1:12" x14ac:dyDescent="0.25">
      <c r="A328" s="244" t="s">
        <v>3134</v>
      </c>
      <c r="B328" s="244" t="s">
        <v>1294</v>
      </c>
      <c r="C328" s="244" t="s">
        <v>2956</v>
      </c>
      <c r="D328" s="245" t="s">
        <v>2994</v>
      </c>
      <c r="E328" s="244" t="s">
        <v>1082</v>
      </c>
      <c r="F328" s="256">
        <v>6</v>
      </c>
      <c r="G328" s="256">
        <v>14.53</v>
      </c>
      <c r="H328" s="256">
        <v>18.149999999999999</v>
      </c>
      <c r="I328" s="257">
        <f t="shared" si="6"/>
        <v>108.9</v>
      </c>
      <c r="J328" s="131"/>
      <c r="K328" s="131"/>
      <c r="L328" s="131"/>
    </row>
    <row r="329" spans="1:12" x14ac:dyDescent="0.25">
      <c r="A329" s="244" t="s">
        <v>3135</v>
      </c>
      <c r="B329" s="244" t="s">
        <v>1291</v>
      </c>
      <c r="C329" s="244" t="s">
        <v>2956</v>
      </c>
      <c r="D329" s="245" t="s">
        <v>2998</v>
      </c>
      <c r="E329" s="244" t="s">
        <v>1082</v>
      </c>
      <c r="F329" s="256">
        <v>2</v>
      </c>
      <c r="G329" s="256">
        <v>5.99</v>
      </c>
      <c r="H329" s="256">
        <v>7.48</v>
      </c>
      <c r="I329" s="257">
        <f t="shared" si="6"/>
        <v>14.96</v>
      </c>
      <c r="J329" s="131"/>
      <c r="K329" s="131"/>
      <c r="L329" s="131"/>
    </row>
    <row r="330" spans="1:12" ht="22.5" x14ac:dyDescent="0.25">
      <c r="A330" s="244" t="s">
        <v>3136</v>
      </c>
      <c r="B330" s="244" t="s">
        <v>1201</v>
      </c>
      <c r="C330" s="244" t="s">
        <v>2882</v>
      </c>
      <c r="D330" s="245" t="s">
        <v>3000</v>
      </c>
      <c r="E330" s="244" t="s">
        <v>1082</v>
      </c>
      <c r="F330" s="256">
        <v>5</v>
      </c>
      <c r="G330" s="256">
        <v>12.04</v>
      </c>
      <c r="H330" s="256">
        <v>15.04</v>
      </c>
      <c r="I330" s="257">
        <f t="shared" si="6"/>
        <v>75.2</v>
      </c>
      <c r="J330" s="131"/>
      <c r="K330" s="131"/>
      <c r="L330" s="131"/>
    </row>
    <row r="331" spans="1:12" x14ac:dyDescent="0.25">
      <c r="A331" s="244" t="s">
        <v>3165</v>
      </c>
      <c r="B331" s="244" t="s">
        <v>1327</v>
      </c>
      <c r="C331" s="244" t="s">
        <v>2956</v>
      </c>
      <c r="D331" s="245" t="s">
        <v>3002</v>
      </c>
      <c r="E331" s="244" t="s">
        <v>1082</v>
      </c>
      <c r="F331" s="256">
        <v>3</v>
      </c>
      <c r="G331" s="256">
        <v>136.18</v>
      </c>
      <c r="H331" s="256">
        <v>170.13</v>
      </c>
      <c r="I331" s="257">
        <f t="shared" si="6"/>
        <v>510.39</v>
      </c>
      <c r="J331" s="131"/>
      <c r="K331" s="131"/>
      <c r="L331" s="131"/>
    </row>
    <row r="332" spans="1:12" ht="22.5" x14ac:dyDescent="0.25">
      <c r="A332" s="244" t="s">
        <v>3166</v>
      </c>
      <c r="B332" s="244" t="s">
        <v>1207</v>
      </c>
      <c r="C332" s="244" t="s">
        <v>2882</v>
      </c>
      <c r="D332" s="245" t="s">
        <v>3008</v>
      </c>
      <c r="E332" s="244" t="s">
        <v>1082</v>
      </c>
      <c r="F332" s="256">
        <v>4</v>
      </c>
      <c r="G332" s="256">
        <v>48.35</v>
      </c>
      <c r="H332" s="256">
        <v>60.4</v>
      </c>
      <c r="I332" s="257">
        <f t="shared" si="6"/>
        <v>241.6</v>
      </c>
      <c r="J332" s="131"/>
      <c r="K332" s="131"/>
      <c r="L332" s="131"/>
    </row>
    <row r="333" spans="1:12" x14ac:dyDescent="0.25">
      <c r="A333" s="244" t="s">
        <v>3167</v>
      </c>
      <c r="B333" s="244" t="s">
        <v>1363</v>
      </c>
      <c r="C333" s="244" t="s">
        <v>3164</v>
      </c>
      <c r="D333" s="245" t="s">
        <v>3012</v>
      </c>
      <c r="E333" s="244" t="s">
        <v>1082</v>
      </c>
      <c r="F333" s="256">
        <v>5</v>
      </c>
      <c r="G333" s="256">
        <v>34.119999999999997</v>
      </c>
      <c r="H333" s="256">
        <v>42.63</v>
      </c>
      <c r="I333" s="257">
        <f t="shared" si="6"/>
        <v>213.15</v>
      </c>
      <c r="J333" s="131"/>
      <c r="K333" s="131"/>
      <c r="L333" s="131"/>
    </row>
    <row r="334" spans="1:12" x14ac:dyDescent="0.25">
      <c r="A334" s="252" t="s">
        <v>3013</v>
      </c>
      <c r="B334" s="252"/>
      <c r="C334" s="252"/>
      <c r="D334" s="253" t="s">
        <v>3014</v>
      </c>
      <c r="E334" s="252"/>
      <c r="F334" s="254"/>
      <c r="G334" s="255"/>
      <c r="H334" s="255"/>
      <c r="I334" s="255">
        <f>I335</f>
        <v>2068.7599999999998</v>
      </c>
      <c r="J334" s="131"/>
      <c r="K334" s="131"/>
      <c r="L334" s="131"/>
    </row>
    <row r="335" spans="1:12" x14ac:dyDescent="0.25">
      <c r="A335" s="261" t="s">
        <v>3015</v>
      </c>
      <c r="B335" s="261"/>
      <c r="C335" s="261"/>
      <c r="D335" s="262" t="s">
        <v>3016</v>
      </c>
      <c r="E335" s="261"/>
      <c r="F335" s="263"/>
      <c r="G335" s="263"/>
      <c r="H335" s="263"/>
      <c r="I335" s="266">
        <f>SUM(I336:I338)</f>
        <v>2068.7599999999998</v>
      </c>
      <c r="J335" s="131"/>
      <c r="K335" s="131"/>
      <c r="L335" s="131"/>
    </row>
    <row r="336" spans="1:12" x14ac:dyDescent="0.25">
      <c r="A336" s="244" t="s">
        <v>3137</v>
      </c>
      <c r="B336" s="244" t="s">
        <v>1312</v>
      </c>
      <c r="C336" s="244" t="s">
        <v>2956</v>
      </c>
      <c r="D336" s="245" t="s">
        <v>3027</v>
      </c>
      <c r="E336" s="244" t="s">
        <v>473</v>
      </c>
      <c r="F336" s="256">
        <v>17.37</v>
      </c>
      <c r="G336" s="256">
        <v>80.83</v>
      </c>
      <c r="H336" s="256">
        <v>100.98</v>
      </c>
      <c r="I336" s="257">
        <f t="shared" si="6"/>
        <v>1754.02</v>
      </c>
      <c r="J336" s="131"/>
      <c r="K336" s="131"/>
      <c r="L336" s="131"/>
    </row>
    <row r="337" spans="1:12" ht="22.5" x14ac:dyDescent="0.25">
      <c r="A337" s="244" t="s">
        <v>3138</v>
      </c>
      <c r="B337" s="244" t="s">
        <v>1213</v>
      </c>
      <c r="C337" s="244" t="s">
        <v>2882</v>
      </c>
      <c r="D337" s="245" t="s">
        <v>2959</v>
      </c>
      <c r="E337" s="244" t="s">
        <v>473</v>
      </c>
      <c r="F337" s="256">
        <v>17.37</v>
      </c>
      <c r="G337" s="256">
        <v>7.23</v>
      </c>
      <c r="H337" s="256">
        <v>9.0299999999999994</v>
      </c>
      <c r="I337" s="257">
        <f t="shared" si="6"/>
        <v>156.85</v>
      </c>
      <c r="J337" s="131"/>
      <c r="K337" s="131"/>
      <c r="L337" s="131"/>
    </row>
    <row r="338" spans="1:12" ht="22.5" x14ac:dyDescent="0.25">
      <c r="A338" s="244" t="s">
        <v>3139</v>
      </c>
      <c r="B338" s="244" t="s">
        <v>1216</v>
      </c>
      <c r="C338" s="244" t="s">
        <v>2882</v>
      </c>
      <c r="D338" s="245" t="s">
        <v>2961</v>
      </c>
      <c r="E338" s="244" t="s">
        <v>473</v>
      </c>
      <c r="F338" s="256">
        <v>17.37</v>
      </c>
      <c r="G338" s="256">
        <v>7.28</v>
      </c>
      <c r="H338" s="256">
        <v>9.09</v>
      </c>
      <c r="I338" s="257">
        <f t="shared" si="6"/>
        <v>157.88999999999999</v>
      </c>
      <c r="J338" s="131"/>
      <c r="K338" s="131"/>
      <c r="L338" s="131"/>
    </row>
    <row r="339" spans="1:12" x14ac:dyDescent="0.25">
      <c r="A339" s="252" t="s">
        <v>3041</v>
      </c>
      <c r="B339" s="252"/>
      <c r="C339" s="252"/>
      <c r="D339" s="253" t="s">
        <v>3042</v>
      </c>
      <c r="E339" s="252"/>
      <c r="F339" s="254"/>
      <c r="G339" s="255"/>
      <c r="H339" s="255"/>
      <c r="I339" s="255">
        <f>SUM(I340:I342)</f>
        <v>447.58000000000004</v>
      </c>
      <c r="J339" s="131"/>
      <c r="K339" s="131"/>
      <c r="L339" s="131"/>
    </row>
    <row r="340" spans="1:12" ht="22.5" x14ac:dyDescent="0.25">
      <c r="A340" s="244" t="s">
        <v>3145</v>
      </c>
      <c r="B340" s="244" t="s">
        <v>1222</v>
      </c>
      <c r="C340" s="244" t="s">
        <v>2882</v>
      </c>
      <c r="D340" s="245" t="s">
        <v>3056</v>
      </c>
      <c r="E340" s="244" t="s">
        <v>1082</v>
      </c>
      <c r="F340" s="256">
        <v>1</v>
      </c>
      <c r="G340" s="256">
        <v>30.91</v>
      </c>
      <c r="H340" s="256">
        <v>38.619999999999997</v>
      </c>
      <c r="I340" s="257">
        <f t="shared" si="6"/>
        <v>38.619999999999997</v>
      </c>
      <c r="J340" s="131"/>
      <c r="K340" s="131"/>
      <c r="L340" s="131"/>
    </row>
    <row r="341" spans="1:12" x14ac:dyDescent="0.25">
      <c r="A341" s="244" t="s">
        <v>3146</v>
      </c>
      <c r="B341" s="244" t="s">
        <v>1276</v>
      </c>
      <c r="C341" s="244" t="s">
        <v>2956</v>
      </c>
      <c r="D341" s="245" t="s">
        <v>3168</v>
      </c>
      <c r="E341" s="244" t="s">
        <v>1082</v>
      </c>
      <c r="F341" s="256">
        <v>2</v>
      </c>
      <c r="G341" s="256">
        <v>141.94999999999999</v>
      </c>
      <c r="H341" s="256">
        <v>177.34</v>
      </c>
      <c r="I341" s="257">
        <f t="shared" si="6"/>
        <v>354.68</v>
      </c>
      <c r="J341" s="131"/>
      <c r="K341" s="131"/>
      <c r="L341" s="131"/>
    </row>
    <row r="342" spans="1:12" x14ac:dyDescent="0.25">
      <c r="A342" s="244" t="s">
        <v>3147</v>
      </c>
      <c r="B342" s="244" t="s">
        <v>1288</v>
      </c>
      <c r="C342" s="244" t="s">
        <v>2956</v>
      </c>
      <c r="D342" s="245" t="s">
        <v>3169</v>
      </c>
      <c r="E342" s="244" t="s">
        <v>1082</v>
      </c>
      <c r="F342" s="256">
        <v>1</v>
      </c>
      <c r="G342" s="256">
        <v>43.45</v>
      </c>
      <c r="H342" s="256">
        <v>54.28</v>
      </c>
      <c r="I342" s="257">
        <f t="shared" si="6"/>
        <v>54.28</v>
      </c>
      <c r="J342" s="131"/>
      <c r="K342" s="131"/>
      <c r="L342" s="131"/>
    </row>
    <row r="343" spans="1:12" x14ac:dyDescent="0.25">
      <c r="A343" s="252" t="s">
        <v>3068</v>
      </c>
      <c r="B343" s="252"/>
      <c r="C343" s="252"/>
      <c r="D343" s="253" t="s">
        <v>3069</v>
      </c>
      <c r="E343" s="252"/>
      <c r="F343" s="254"/>
      <c r="G343" s="255"/>
      <c r="H343" s="255"/>
      <c r="I343" s="255">
        <f>SUM(I344:I350)</f>
        <v>6329.2999999999993</v>
      </c>
      <c r="J343" s="131"/>
      <c r="K343" s="131"/>
      <c r="L343" s="131"/>
    </row>
    <row r="344" spans="1:12" x14ac:dyDescent="0.25">
      <c r="A344" s="244" t="s">
        <v>3151</v>
      </c>
      <c r="B344" s="244" t="s">
        <v>3071</v>
      </c>
      <c r="C344" s="244" t="s">
        <v>2956</v>
      </c>
      <c r="D344" s="245" t="s">
        <v>3072</v>
      </c>
      <c r="E344" s="244" t="s">
        <v>1082</v>
      </c>
      <c r="F344" s="256">
        <v>3</v>
      </c>
      <c r="G344" s="256">
        <v>195.08</v>
      </c>
      <c r="H344" s="256">
        <v>243.71</v>
      </c>
      <c r="I344" s="257">
        <f t="shared" si="6"/>
        <v>731.13</v>
      </c>
      <c r="J344" s="131"/>
      <c r="K344" s="131"/>
      <c r="L344" s="131"/>
    </row>
    <row r="345" spans="1:12" ht="33.75" x14ac:dyDescent="0.25">
      <c r="A345" s="244" t="s">
        <v>3152</v>
      </c>
      <c r="B345" s="244" t="s">
        <v>3074</v>
      </c>
      <c r="C345" s="244" t="s">
        <v>2882</v>
      </c>
      <c r="D345" s="245" t="s">
        <v>3075</v>
      </c>
      <c r="E345" s="244" t="s">
        <v>1082</v>
      </c>
      <c r="F345" s="256">
        <v>3</v>
      </c>
      <c r="G345" s="256">
        <v>313.45999999999998</v>
      </c>
      <c r="H345" s="256">
        <v>391.61</v>
      </c>
      <c r="I345" s="257">
        <f t="shared" si="6"/>
        <v>1174.83</v>
      </c>
      <c r="J345" s="131"/>
      <c r="K345" s="131"/>
      <c r="L345" s="131"/>
    </row>
    <row r="346" spans="1:12" x14ac:dyDescent="0.25">
      <c r="A346" s="244" t="s">
        <v>3153</v>
      </c>
      <c r="B346" s="244" t="s">
        <v>1339</v>
      </c>
      <c r="C346" s="244" t="s">
        <v>2956</v>
      </c>
      <c r="D346" s="245" t="s">
        <v>3079</v>
      </c>
      <c r="E346" s="244" t="s">
        <v>1082</v>
      </c>
      <c r="F346" s="256">
        <v>2</v>
      </c>
      <c r="G346" s="256">
        <v>87.71</v>
      </c>
      <c r="H346" s="256">
        <v>109.58</v>
      </c>
      <c r="I346" s="257">
        <f t="shared" si="6"/>
        <v>219.16</v>
      </c>
      <c r="J346" s="131"/>
      <c r="K346" s="131"/>
      <c r="L346" s="131"/>
    </row>
    <row r="347" spans="1:12" ht="33.75" x14ac:dyDescent="0.25">
      <c r="A347" s="244" t="s">
        <v>3154</v>
      </c>
      <c r="B347" s="244" t="s">
        <v>1204</v>
      </c>
      <c r="C347" s="244" t="s">
        <v>2882</v>
      </c>
      <c r="D347" s="245" t="s">
        <v>3081</v>
      </c>
      <c r="E347" s="244" t="s">
        <v>1082</v>
      </c>
      <c r="F347" s="256">
        <v>2</v>
      </c>
      <c r="G347" s="256">
        <v>184.57</v>
      </c>
      <c r="H347" s="256">
        <v>230.58</v>
      </c>
      <c r="I347" s="257">
        <f t="shared" si="6"/>
        <v>461.16</v>
      </c>
      <c r="J347" s="131"/>
      <c r="K347" s="131"/>
      <c r="L347" s="131"/>
    </row>
    <row r="348" spans="1:12" x14ac:dyDescent="0.25">
      <c r="A348" s="244" t="s">
        <v>3155</v>
      </c>
      <c r="B348" s="244" t="s">
        <v>1255</v>
      </c>
      <c r="C348" s="244" t="s">
        <v>2956</v>
      </c>
      <c r="D348" s="245" t="s">
        <v>3083</v>
      </c>
      <c r="E348" s="244" t="s">
        <v>1082</v>
      </c>
      <c r="F348" s="256">
        <v>3</v>
      </c>
      <c r="G348" s="256">
        <v>58.28</v>
      </c>
      <c r="H348" s="256">
        <v>72.81</v>
      </c>
      <c r="I348" s="257">
        <f t="shared" si="6"/>
        <v>218.43</v>
      </c>
      <c r="J348" s="131"/>
      <c r="K348" s="131"/>
      <c r="L348" s="131"/>
    </row>
    <row r="349" spans="1:12" ht="45" x14ac:dyDescent="0.25">
      <c r="A349" s="244" t="s">
        <v>3156</v>
      </c>
      <c r="B349" s="244" t="s">
        <v>3090</v>
      </c>
      <c r="C349" s="244" t="s">
        <v>2882</v>
      </c>
      <c r="D349" s="245" t="s">
        <v>3091</v>
      </c>
      <c r="E349" s="244" t="s">
        <v>1082</v>
      </c>
      <c r="F349" s="256">
        <v>7</v>
      </c>
      <c r="G349" s="256">
        <v>399.47</v>
      </c>
      <c r="H349" s="256">
        <v>499.06</v>
      </c>
      <c r="I349" s="257">
        <f t="shared" si="6"/>
        <v>3493.42</v>
      </c>
      <c r="J349" s="131"/>
      <c r="K349" s="131"/>
      <c r="L349" s="131"/>
    </row>
    <row r="350" spans="1:12" x14ac:dyDescent="0.25">
      <c r="A350" s="244" t="s">
        <v>3157</v>
      </c>
      <c r="B350" s="244" t="s">
        <v>1300</v>
      </c>
      <c r="C350" s="244" t="s">
        <v>2956</v>
      </c>
      <c r="D350" s="245" t="s">
        <v>3170</v>
      </c>
      <c r="E350" s="244" t="s">
        <v>1082</v>
      </c>
      <c r="F350" s="256">
        <v>1</v>
      </c>
      <c r="G350" s="256">
        <v>24.95</v>
      </c>
      <c r="H350" s="256">
        <v>31.17</v>
      </c>
      <c r="I350" s="257">
        <f t="shared" si="6"/>
        <v>31.17</v>
      </c>
      <c r="J350" s="131"/>
      <c r="K350" s="131"/>
      <c r="L350" s="131"/>
    </row>
    <row r="351" spans="1:12" x14ac:dyDescent="0.25">
      <c r="A351" s="252" t="s">
        <v>3171</v>
      </c>
      <c r="B351" s="252"/>
      <c r="C351" s="252"/>
      <c r="D351" s="253" t="s">
        <v>3172</v>
      </c>
      <c r="E351" s="252"/>
      <c r="F351" s="254"/>
      <c r="G351" s="255"/>
      <c r="H351" s="255"/>
      <c r="I351" s="255">
        <f>I352+I360+I370+I379</f>
        <v>31013</v>
      </c>
      <c r="J351" s="131"/>
      <c r="K351" s="131"/>
      <c r="L351" s="131"/>
    </row>
    <row r="352" spans="1:12" x14ac:dyDescent="0.25">
      <c r="A352" s="261" t="s">
        <v>3173</v>
      </c>
      <c r="B352" s="261"/>
      <c r="C352" s="261"/>
      <c r="D352" s="262" t="s">
        <v>3174</v>
      </c>
      <c r="E352" s="261"/>
      <c r="F352" s="263"/>
      <c r="G352" s="263"/>
      <c r="H352" s="263"/>
      <c r="I352" s="264">
        <f>SUM(I353:I359)</f>
        <v>1852</v>
      </c>
      <c r="J352" s="131"/>
      <c r="K352" s="131"/>
      <c r="L352" s="131"/>
    </row>
    <row r="353" spans="1:12" x14ac:dyDescent="0.25">
      <c r="A353" s="244" t="s">
        <v>3175</v>
      </c>
      <c r="B353" s="244" t="s">
        <v>1154</v>
      </c>
      <c r="C353" s="244" t="s">
        <v>2882</v>
      </c>
      <c r="D353" s="245" t="s">
        <v>3176</v>
      </c>
      <c r="E353" s="244" t="s">
        <v>1082</v>
      </c>
      <c r="F353" s="256">
        <v>1</v>
      </c>
      <c r="G353" s="256">
        <v>146.16</v>
      </c>
      <c r="H353" s="256">
        <v>182.6</v>
      </c>
      <c r="I353" s="257">
        <f>ROUND(F353*H353,)</f>
        <v>183</v>
      </c>
      <c r="J353" s="131"/>
      <c r="K353" s="131"/>
      <c r="L353" s="131"/>
    </row>
    <row r="354" spans="1:12" x14ac:dyDescent="0.25">
      <c r="A354" s="244" t="s">
        <v>3177</v>
      </c>
      <c r="B354" s="244" t="s">
        <v>1330</v>
      </c>
      <c r="C354" s="244" t="s">
        <v>2956</v>
      </c>
      <c r="D354" s="245" t="s">
        <v>3178</v>
      </c>
      <c r="E354" s="244" t="s">
        <v>1082</v>
      </c>
      <c r="F354" s="256">
        <v>1</v>
      </c>
      <c r="G354" s="256">
        <v>11.53</v>
      </c>
      <c r="H354" s="256">
        <v>14.4</v>
      </c>
      <c r="I354" s="257">
        <f t="shared" ref="I354:I382" si="7">ROUND(F354*H354,)</f>
        <v>14</v>
      </c>
      <c r="J354" s="131"/>
      <c r="K354" s="131"/>
      <c r="L354" s="131"/>
    </row>
    <row r="355" spans="1:12" x14ac:dyDescent="0.25">
      <c r="A355" s="244" t="s">
        <v>3179</v>
      </c>
      <c r="B355" s="244" t="s">
        <v>1435</v>
      </c>
      <c r="C355" s="244" t="s">
        <v>3164</v>
      </c>
      <c r="D355" s="245" t="s">
        <v>1436</v>
      </c>
      <c r="E355" s="244" t="s">
        <v>1082</v>
      </c>
      <c r="F355" s="256">
        <v>1</v>
      </c>
      <c r="G355" s="256">
        <v>414.75</v>
      </c>
      <c r="H355" s="256">
        <v>518.15</v>
      </c>
      <c r="I355" s="257">
        <f t="shared" si="7"/>
        <v>518</v>
      </c>
      <c r="J355" s="131"/>
      <c r="K355" s="131"/>
      <c r="L355" s="131"/>
    </row>
    <row r="356" spans="1:12" x14ac:dyDescent="0.25">
      <c r="A356" s="244" t="s">
        <v>3180</v>
      </c>
      <c r="B356" s="244" t="s">
        <v>1099</v>
      </c>
      <c r="C356" s="244" t="s">
        <v>2882</v>
      </c>
      <c r="D356" s="245" t="s">
        <v>3181</v>
      </c>
      <c r="E356" s="244" t="s">
        <v>1082</v>
      </c>
      <c r="F356" s="256">
        <v>1</v>
      </c>
      <c r="G356" s="256">
        <v>48.74</v>
      </c>
      <c r="H356" s="256">
        <v>60.89</v>
      </c>
      <c r="I356" s="257">
        <f t="shared" si="7"/>
        <v>61</v>
      </c>
      <c r="J356" s="131"/>
      <c r="K356" s="131"/>
      <c r="L356" s="131"/>
    </row>
    <row r="357" spans="1:12" x14ac:dyDescent="0.25">
      <c r="A357" s="244" t="s">
        <v>3182</v>
      </c>
      <c r="B357" s="244" t="s">
        <v>1096</v>
      </c>
      <c r="C357" s="244" t="s">
        <v>2882</v>
      </c>
      <c r="D357" s="245" t="s">
        <v>3183</v>
      </c>
      <c r="E357" s="244" t="s">
        <v>1082</v>
      </c>
      <c r="F357" s="256">
        <v>4</v>
      </c>
      <c r="G357" s="256">
        <v>2.87</v>
      </c>
      <c r="H357" s="256">
        <v>3.59</v>
      </c>
      <c r="I357" s="257">
        <f t="shared" si="7"/>
        <v>14</v>
      </c>
      <c r="J357" s="131"/>
      <c r="K357" s="131"/>
      <c r="L357" s="131"/>
    </row>
    <row r="358" spans="1:12" ht="33.75" x14ac:dyDescent="0.25">
      <c r="A358" s="244" t="s">
        <v>3184</v>
      </c>
      <c r="B358" s="244" t="s">
        <v>1219</v>
      </c>
      <c r="C358" s="244" t="s">
        <v>2882</v>
      </c>
      <c r="D358" s="245" t="s">
        <v>3185</v>
      </c>
      <c r="E358" s="244" t="s">
        <v>473</v>
      </c>
      <c r="F358" s="256">
        <v>38.020000000000003</v>
      </c>
      <c r="G358" s="256">
        <v>20.059999999999999</v>
      </c>
      <c r="H358" s="256">
        <v>25.06</v>
      </c>
      <c r="I358" s="257">
        <f t="shared" si="7"/>
        <v>953</v>
      </c>
      <c r="J358" s="131"/>
      <c r="K358" s="131"/>
      <c r="L358" s="131"/>
    </row>
    <row r="359" spans="1:12" x14ac:dyDescent="0.25">
      <c r="A359" s="244" t="s">
        <v>3186</v>
      </c>
      <c r="B359" s="244" t="s">
        <v>1135</v>
      </c>
      <c r="C359" s="244" t="s">
        <v>2882</v>
      </c>
      <c r="D359" s="245" t="s">
        <v>3187</v>
      </c>
      <c r="E359" s="244" t="s">
        <v>1082</v>
      </c>
      <c r="F359" s="256">
        <v>1</v>
      </c>
      <c r="G359" s="256">
        <v>87.21</v>
      </c>
      <c r="H359" s="256">
        <v>108.95</v>
      </c>
      <c r="I359" s="257">
        <f t="shared" si="7"/>
        <v>109</v>
      </c>
      <c r="J359" s="131"/>
      <c r="K359" s="131"/>
      <c r="L359" s="131"/>
    </row>
    <row r="360" spans="1:12" x14ac:dyDescent="0.25">
      <c r="A360" s="261" t="s">
        <v>3188</v>
      </c>
      <c r="B360" s="261"/>
      <c r="C360" s="261"/>
      <c r="D360" s="262" t="s">
        <v>3189</v>
      </c>
      <c r="E360" s="261"/>
      <c r="F360" s="263"/>
      <c r="G360" s="263"/>
      <c r="H360" s="263"/>
      <c r="I360" s="266">
        <f>SUM(I361:I369)</f>
        <v>5313</v>
      </c>
      <c r="J360" s="131"/>
      <c r="K360" s="131"/>
      <c r="L360" s="131"/>
    </row>
    <row r="361" spans="1:12" x14ac:dyDescent="0.25">
      <c r="A361" s="244" t="s">
        <v>3190</v>
      </c>
      <c r="B361" s="244" t="s">
        <v>1145</v>
      </c>
      <c r="C361" s="244" t="s">
        <v>2882</v>
      </c>
      <c r="D361" s="245" t="s">
        <v>3191</v>
      </c>
      <c r="E361" s="244" t="s">
        <v>1082</v>
      </c>
      <c r="F361" s="256">
        <v>1</v>
      </c>
      <c r="G361" s="256">
        <v>234.69</v>
      </c>
      <c r="H361" s="256">
        <v>293.2</v>
      </c>
      <c r="I361" s="257">
        <f t="shared" si="7"/>
        <v>293</v>
      </c>
      <c r="J361" s="131"/>
      <c r="K361" s="131"/>
      <c r="L361" s="131"/>
    </row>
    <row r="362" spans="1:12" x14ac:dyDescent="0.25">
      <c r="A362" s="244" t="s">
        <v>3192</v>
      </c>
      <c r="B362" s="244" t="s">
        <v>1420</v>
      </c>
      <c r="C362" s="244" t="s">
        <v>2956</v>
      </c>
      <c r="D362" s="245" t="s">
        <v>3193</v>
      </c>
      <c r="E362" s="244" t="s">
        <v>473</v>
      </c>
      <c r="F362" s="256">
        <v>6</v>
      </c>
      <c r="G362" s="256">
        <v>77.400000000000006</v>
      </c>
      <c r="H362" s="256">
        <v>96.7</v>
      </c>
      <c r="I362" s="257">
        <f t="shared" si="7"/>
        <v>580</v>
      </c>
      <c r="J362" s="131"/>
      <c r="K362" s="131"/>
      <c r="L362" s="131"/>
    </row>
    <row r="363" spans="1:12" ht="22.5" x14ac:dyDescent="0.25">
      <c r="A363" s="244" t="s">
        <v>3194</v>
      </c>
      <c r="B363" s="244" t="s">
        <v>1148</v>
      </c>
      <c r="C363" s="244" t="s">
        <v>2882</v>
      </c>
      <c r="D363" s="245" t="s">
        <v>3195</v>
      </c>
      <c r="E363" s="244" t="s">
        <v>473</v>
      </c>
      <c r="F363" s="256">
        <v>6</v>
      </c>
      <c r="G363" s="256">
        <v>3</v>
      </c>
      <c r="H363" s="256">
        <v>3.75</v>
      </c>
      <c r="I363" s="257">
        <f t="shared" si="7"/>
        <v>23</v>
      </c>
      <c r="J363" s="131"/>
      <c r="K363" s="131"/>
      <c r="L363" s="131"/>
    </row>
    <row r="364" spans="1:12" x14ac:dyDescent="0.25">
      <c r="A364" s="244" t="s">
        <v>3196</v>
      </c>
      <c r="B364" s="244" t="s">
        <v>1087</v>
      </c>
      <c r="C364" s="244" t="s">
        <v>2882</v>
      </c>
      <c r="D364" s="245" t="s">
        <v>3197</v>
      </c>
      <c r="E364" s="244" t="s">
        <v>1082</v>
      </c>
      <c r="F364" s="256">
        <v>3</v>
      </c>
      <c r="G364" s="256">
        <v>50.58</v>
      </c>
      <c r="H364" s="256">
        <v>63.19</v>
      </c>
      <c r="I364" s="257">
        <f t="shared" si="7"/>
        <v>190</v>
      </c>
      <c r="J364" s="131"/>
      <c r="K364" s="131"/>
      <c r="L364" s="131"/>
    </row>
    <row r="365" spans="1:12" x14ac:dyDescent="0.25">
      <c r="A365" s="244" t="s">
        <v>3198</v>
      </c>
      <c r="B365" s="244" t="s">
        <v>1093</v>
      </c>
      <c r="C365" s="244" t="s">
        <v>2882</v>
      </c>
      <c r="D365" s="245" t="s">
        <v>3199</v>
      </c>
      <c r="E365" s="244" t="s">
        <v>1082</v>
      </c>
      <c r="F365" s="256">
        <v>2</v>
      </c>
      <c r="G365" s="256">
        <v>114.19</v>
      </c>
      <c r="H365" s="256">
        <v>142.66</v>
      </c>
      <c r="I365" s="257">
        <f t="shared" si="7"/>
        <v>285</v>
      </c>
      <c r="J365" s="131"/>
      <c r="K365" s="131"/>
      <c r="L365" s="131"/>
    </row>
    <row r="366" spans="1:12" x14ac:dyDescent="0.25">
      <c r="A366" s="244" t="s">
        <v>3200</v>
      </c>
      <c r="B366" s="244" t="s">
        <v>1114</v>
      </c>
      <c r="C366" s="244" t="s">
        <v>2882</v>
      </c>
      <c r="D366" s="245" t="s">
        <v>3201</v>
      </c>
      <c r="E366" s="244" t="s">
        <v>1082</v>
      </c>
      <c r="F366" s="256">
        <v>1</v>
      </c>
      <c r="G366" s="256">
        <v>142.99</v>
      </c>
      <c r="H366" s="256">
        <v>178.64</v>
      </c>
      <c r="I366" s="257">
        <f t="shared" si="7"/>
        <v>179</v>
      </c>
      <c r="J366" s="131"/>
      <c r="K366" s="131"/>
      <c r="L366" s="131"/>
    </row>
    <row r="367" spans="1:12" x14ac:dyDescent="0.25">
      <c r="A367" s="244" t="s">
        <v>3202</v>
      </c>
      <c r="B367" s="244" t="s">
        <v>1108</v>
      </c>
      <c r="C367" s="244" t="s">
        <v>2882</v>
      </c>
      <c r="D367" s="245" t="s">
        <v>3203</v>
      </c>
      <c r="E367" s="244" t="s">
        <v>1082</v>
      </c>
      <c r="F367" s="256">
        <v>2</v>
      </c>
      <c r="G367" s="256">
        <v>443.63</v>
      </c>
      <c r="H367" s="256">
        <v>554.23</v>
      </c>
      <c r="I367" s="257">
        <f t="shared" si="7"/>
        <v>1108</v>
      </c>
      <c r="J367" s="131"/>
      <c r="K367" s="131"/>
      <c r="L367" s="131"/>
    </row>
    <row r="368" spans="1:12" x14ac:dyDescent="0.25">
      <c r="A368" s="244" t="s">
        <v>3204</v>
      </c>
      <c r="B368" s="244" t="s">
        <v>1126</v>
      </c>
      <c r="C368" s="244" t="s">
        <v>2882</v>
      </c>
      <c r="D368" s="245" t="s">
        <v>3205</v>
      </c>
      <c r="E368" s="244" t="s">
        <v>1082</v>
      </c>
      <c r="F368" s="256">
        <v>2</v>
      </c>
      <c r="G368" s="256">
        <v>164.78</v>
      </c>
      <c r="H368" s="256">
        <v>205.86</v>
      </c>
      <c r="I368" s="257">
        <f t="shared" si="7"/>
        <v>412</v>
      </c>
      <c r="J368" s="131"/>
      <c r="K368" s="131"/>
      <c r="L368" s="131"/>
    </row>
    <row r="369" spans="1:12" x14ac:dyDescent="0.25">
      <c r="A369" s="244" t="s">
        <v>3206</v>
      </c>
      <c r="B369" s="244" t="s">
        <v>1333</v>
      </c>
      <c r="C369" s="244" t="s">
        <v>2956</v>
      </c>
      <c r="D369" s="245" t="s">
        <v>3207</v>
      </c>
      <c r="E369" s="244" t="s">
        <v>1082</v>
      </c>
      <c r="F369" s="256">
        <v>1</v>
      </c>
      <c r="G369" s="256">
        <v>1795.3</v>
      </c>
      <c r="H369" s="256">
        <v>2242.87</v>
      </c>
      <c r="I369" s="257">
        <f t="shared" si="7"/>
        <v>2243</v>
      </c>
      <c r="J369" s="131"/>
      <c r="K369" s="131"/>
      <c r="L369" s="131"/>
    </row>
    <row r="370" spans="1:12" x14ac:dyDescent="0.25">
      <c r="A370" s="261" t="s">
        <v>3208</v>
      </c>
      <c r="B370" s="261"/>
      <c r="C370" s="261"/>
      <c r="D370" s="262" t="s">
        <v>3209</v>
      </c>
      <c r="E370" s="261"/>
      <c r="F370" s="263"/>
      <c r="G370" s="263"/>
      <c r="H370" s="263"/>
      <c r="I370" s="266">
        <f>SUM(I371:I378)</f>
        <v>13149</v>
      </c>
      <c r="J370" s="131"/>
      <c r="K370" s="131"/>
      <c r="L370" s="131"/>
    </row>
    <row r="371" spans="1:12" x14ac:dyDescent="0.25">
      <c r="A371" s="244" t="s">
        <v>3210</v>
      </c>
      <c r="B371" s="244" t="s">
        <v>1080</v>
      </c>
      <c r="C371" s="244" t="s">
        <v>2882</v>
      </c>
      <c r="D371" s="245" t="s">
        <v>3211</v>
      </c>
      <c r="E371" s="244" t="s">
        <v>1082</v>
      </c>
      <c r="F371" s="256">
        <v>2</v>
      </c>
      <c r="G371" s="256">
        <v>19.940000000000001</v>
      </c>
      <c r="H371" s="256">
        <v>24.91</v>
      </c>
      <c r="I371" s="257">
        <f t="shared" si="7"/>
        <v>50</v>
      </c>
      <c r="J371" s="131"/>
      <c r="K371" s="131"/>
      <c r="L371" s="131"/>
    </row>
    <row r="372" spans="1:12" x14ac:dyDescent="0.25">
      <c r="A372" s="244" t="s">
        <v>3212</v>
      </c>
      <c r="B372" s="244" t="s">
        <v>1123</v>
      </c>
      <c r="C372" s="244" t="s">
        <v>2882</v>
      </c>
      <c r="D372" s="245" t="s">
        <v>3213</v>
      </c>
      <c r="E372" s="244" t="s">
        <v>1082</v>
      </c>
      <c r="F372" s="256">
        <v>2</v>
      </c>
      <c r="G372" s="256">
        <v>122.9</v>
      </c>
      <c r="H372" s="256">
        <v>153.54</v>
      </c>
      <c r="I372" s="257">
        <f t="shared" si="7"/>
        <v>307</v>
      </c>
      <c r="J372" s="131"/>
      <c r="K372" s="131"/>
      <c r="L372" s="131"/>
    </row>
    <row r="373" spans="1:12" ht="22.5" x14ac:dyDescent="0.25">
      <c r="A373" s="244" t="s">
        <v>3214</v>
      </c>
      <c r="B373" s="244" t="s">
        <v>1129</v>
      </c>
      <c r="C373" s="244" t="s">
        <v>2882</v>
      </c>
      <c r="D373" s="245" t="s">
        <v>3215</v>
      </c>
      <c r="E373" s="244" t="s">
        <v>1082</v>
      </c>
      <c r="F373" s="256">
        <v>2</v>
      </c>
      <c r="G373" s="256">
        <v>213.75</v>
      </c>
      <c r="H373" s="256">
        <v>267.04000000000002</v>
      </c>
      <c r="I373" s="257">
        <f t="shared" si="7"/>
        <v>534</v>
      </c>
      <c r="J373" s="131"/>
      <c r="K373" s="131"/>
      <c r="L373" s="131"/>
    </row>
    <row r="374" spans="1:12" x14ac:dyDescent="0.25">
      <c r="A374" s="244" t="s">
        <v>3216</v>
      </c>
      <c r="B374" s="244" t="s">
        <v>1105</v>
      </c>
      <c r="C374" s="244" t="s">
        <v>2882</v>
      </c>
      <c r="D374" s="245" t="s">
        <v>3217</v>
      </c>
      <c r="E374" s="244" t="s">
        <v>1082</v>
      </c>
      <c r="F374" s="256">
        <v>2</v>
      </c>
      <c r="G374" s="256">
        <v>260.33</v>
      </c>
      <c r="H374" s="256">
        <v>325.23</v>
      </c>
      <c r="I374" s="257">
        <f t="shared" si="7"/>
        <v>650</v>
      </c>
      <c r="J374" s="131"/>
      <c r="K374" s="131"/>
      <c r="L374" s="131"/>
    </row>
    <row r="375" spans="1:12" x14ac:dyDescent="0.25">
      <c r="A375" s="244" t="s">
        <v>3218</v>
      </c>
      <c r="B375" s="244" t="s">
        <v>1117</v>
      </c>
      <c r="C375" s="244" t="s">
        <v>2882</v>
      </c>
      <c r="D375" s="245" t="s">
        <v>3219</v>
      </c>
      <c r="E375" s="244" t="s">
        <v>1082</v>
      </c>
      <c r="F375" s="256">
        <v>1</v>
      </c>
      <c r="G375" s="256">
        <v>75.08</v>
      </c>
      <c r="H375" s="256">
        <v>93.8</v>
      </c>
      <c r="I375" s="257">
        <f t="shared" si="7"/>
        <v>94</v>
      </c>
      <c r="J375" s="131"/>
      <c r="K375" s="131"/>
      <c r="L375" s="131"/>
    </row>
    <row r="376" spans="1:12" x14ac:dyDescent="0.25">
      <c r="A376" s="244" t="s">
        <v>3220</v>
      </c>
      <c r="B376" s="244" t="s">
        <v>1090</v>
      </c>
      <c r="C376" s="244" t="s">
        <v>2882</v>
      </c>
      <c r="D376" s="245" t="s">
        <v>3221</v>
      </c>
      <c r="E376" s="244" t="s">
        <v>1082</v>
      </c>
      <c r="F376" s="256">
        <v>5</v>
      </c>
      <c r="G376" s="256">
        <v>59.82</v>
      </c>
      <c r="H376" s="256">
        <v>74.73</v>
      </c>
      <c r="I376" s="257">
        <f t="shared" si="7"/>
        <v>374</v>
      </c>
      <c r="J376" s="131"/>
      <c r="K376" s="131"/>
      <c r="L376" s="131"/>
    </row>
    <row r="377" spans="1:12" x14ac:dyDescent="0.25">
      <c r="A377" s="244" t="s">
        <v>3222</v>
      </c>
      <c r="B377" s="244" t="s">
        <v>1423</v>
      </c>
      <c r="C377" s="244" t="s">
        <v>2956</v>
      </c>
      <c r="D377" s="245" t="s">
        <v>3223</v>
      </c>
      <c r="E377" s="244" t="s">
        <v>473</v>
      </c>
      <c r="F377" s="256">
        <v>49.68</v>
      </c>
      <c r="G377" s="256">
        <v>47.86</v>
      </c>
      <c r="H377" s="256">
        <v>59.79</v>
      </c>
      <c r="I377" s="257">
        <f t="shared" si="7"/>
        <v>2970</v>
      </c>
      <c r="J377" s="131"/>
      <c r="K377" s="131"/>
      <c r="L377" s="131"/>
    </row>
    <row r="378" spans="1:12" x14ac:dyDescent="0.25">
      <c r="A378" s="244" t="s">
        <v>3224</v>
      </c>
      <c r="B378" s="244" t="s">
        <v>1378</v>
      </c>
      <c r="C378" s="244" t="s">
        <v>3164</v>
      </c>
      <c r="D378" s="245" t="s">
        <v>3225</v>
      </c>
      <c r="E378" s="244" t="s">
        <v>1082</v>
      </c>
      <c r="F378" s="256">
        <v>1</v>
      </c>
      <c r="G378" s="256">
        <v>6539.84</v>
      </c>
      <c r="H378" s="256">
        <v>8170.22</v>
      </c>
      <c r="I378" s="257">
        <f t="shared" si="7"/>
        <v>8170</v>
      </c>
      <c r="J378" s="131"/>
      <c r="K378" s="131"/>
      <c r="L378" s="131"/>
    </row>
    <row r="379" spans="1:12" x14ac:dyDescent="0.25">
      <c r="A379" s="261" t="s">
        <v>3226</v>
      </c>
      <c r="B379" s="261"/>
      <c r="C379" s="261"/>
      <c r="D379" s="262" t="s">
        <v>3227</v>
      </c>
      <c r="E379" s="261"/>
      <c r="F379" s="263"/>
      <c r="G379" s="263"/>
      <c r="H379" s="263"/>
      <c r="I379" s="266">
        <f>SUM(I380:I382)</f>
        <v>10699</v>
      </c>
      <c r="J379" s="131"/>
      <c r="K379" s="131"/>
      <c r="L379" s="131"/>
    </row>
    <row r="380" spans="1:12" x14ac:dyDescent="0.25">
      <c r="A380" s="244" t="s">
        <v>3228</v>
      </c>
      <c r="B380" s="244" t="s">
        <v>1159</v>
      </c>
      <c r="C380" s="244" t="s">
        <v>2882</v>
      </c>
      <c r="D380" s="245" t="s">
        <v>3229</v>
      </c>
      <c r="E380" s="244" t="s">
        <v>1082</v>
      </c>
      <c r="F380" s="256">
        <v>2</v>
      </c>
      <c r="G380" s="256">
        <v>3927.44</v>
      </c>
      <c r="H380" s="256">
        <v>4906.55</v>
      </c>
      <c r="I380" s="257">
        <f t="shared" si="7"/>
        <v>9813</v>
      </c>
      <c r="J380" s="131"/>
      <c r="K380" s="131"/>
      <c r="L380" s="131"/>
    </row>
    <row r="381" spans="1:12" x14ac:dyDescent="0.25">
      <c r="A381" s="244" t="s">
        <v>3230</v>
      </c>
      <c r="B381" s="244" t="s">
        <v>1270</v>
      </c>
      <c r="C381" s="244" t="s">
        <v>2956</v>
      </c>
      <c r="D381" s="245" t="s">
        <v>3231</v>
      </c>
      <c r="E381" s="244" t="s">
        <v>1082</v>
      </c>
      <c r="F381" s="256">
        <v>1</v>
      </c>
      <c r="G381" s="256">
        <v>269.43</v>
      </c>
      <c r="H381" s="256">
        <v>336.6</v>
      </c>
      <c r="I381" s="257">
        <f t="shared" si="7"/>
        <v>337</v>
      </c>
      <c r="J381" s="131"/>
      <c r="K381" s="131"/>
      <c r="L381" s="131"/>
    </row>
    <row r="382" spans="1:12" x14ac:dyDescent="0.25">
      <c r="A382" s="244" t="s">
        <v>3232</v>
      </c>
      <c r="B382" s="244" t="s">
        <v>1375</v>
      </c>
      <c r="C382" s="244" t="s">
        <v>3164</v>
      </c>
      <c r="D382" s="245" t="s">
        <v>3233</v>
      </c>
      <c r="E382" s="244" t="s">
        <v>1082</v>
      </c>
      <c r="F382" s="256">
        <v>1</v>
      </c>
      <c r="G382" s="256">
        <v>439.19</v>
      </c>
      <c r="H382" s="256">
        <v>548.67999999999995</v>
      </c>
      <c r="I382" s="257">
        <f t="shared" si="7"/>
        <v>549</v>
      </c>
      <c r="J382" s="131"/>
      <c r="K382" s="131"/>
      <c r="L382" s="131"/>
    </row>
    <row r="383" spans="1:12" x14ac:dyDescent="0.25">
      <c r="A383" s="660" t="s">
        <v>2945</v>
      </c>
      <c r="B383" s="660"/>
      <c r="C383" s="660"/>
      <c r="D383" s="250" t="s">
        <v>3234</v>
      </c>
      <c r="E383" s="660"/>
      <c r="F383" s="260"/>
      <c r="G383" s="260"/>
      <c r="H383" s="260"/>
      <c r="I383" s="260"/>
      <c r="J383" s="131"/>
      <c r="K383" s="131"/>
      <c r="L383" s="131"/>
    </row>
    <row r="384" spans="1:12" x14ac:dyDescent="0.25">
      <c r="A384" s="252" t="s">
        <v>2947</v>
      </c>
      <c r="B384" s="252"/>
      <c r="C384" s="252"/>
      <c r="D384" s="253" t="s">
        <v>3235</v>
      </c>
      <c r="E384" s="252"/>
      <c r="F384" s="254"/>
      <c r="G384" s="255"/>
      <c r="H384" s="255"/>
      <c r="I384" s="255">
        <f>SUM(I385:I401)</f>
        <v>25083.29</v>
      </c>
      <c r="J384" s="131"/>
      <c r="K384" s="131"/>
      <c r="L384" s="131"/>
    </row>
    <row r="385" spans="1:12" ht="22.5" x14ac:dyDescent="0.25">
      <c r="A385" s="244" t="s">
        <v>2949</v>
      </c>
      <c r="B385" s="244" t="s">
        <v>1180</v>
      </c>
      <c r="C385" s="244" t="s">
        <v>2882</v>
      </c>
      <c r="D385" s="245" t="s">
        <v>2954</v>
      </c>
      <c r="E385" s="244" t="s">
        <v>473</v>
      </c>
      <c r="F385" s="246">
        <v>9.24</v>
      </c>
      <c r="G385" s="246">
        <v>14</v>
      </c>
      <c r="H385" s="246">
        <v>17.489999999999998</v>
      </c>
      <c r="I385" s="246">
        <f>ROUND(F385*H385,2)</f>
        <v>161.61000000000001</v>
      </c>
      <c r="J385" s="131"/>
      <c r="K385" s="131"/>
      <c r="L385" s="131"/>
    </row>
    <row r="386" spans="1:12" x14ac:dyDescent="0.25">
      <c r="A386" s="244" t="s">
        <v>2951</v>
      </c>
      <c r="B386" s="244" t="s">
        <v>1321</v>
      </c>
      <c r="C386" s="244" t="s">
        <v>2956</v>
      </c>
      <c r="D386" s="245" t="s">
        <v>3236</v>
      </c>
      <c r="E386" s="244" t="s">
        <v>473</v>
      </c>
      <c r="F386" s="246">
        <v>24</v>
      </c>
      <c r="G386" s="246">
        <v>199.36</v>
      </c>
      <c r="H386" s="246">
        <v>249.06</v>
      </c>
      <c r="I386" s="246">
        <f t="shared" ref="I386:I401" si="8">ROUND(F386*H386,2)</f>
        <v>5977.44</v>
      </c>
      <c r="J386" s="131"/>
      <c r="K386" s="131"/>
      <c r="L386" s="131"/>
    </row>
    <row r="387" spans="1:12" ht="22.5" x14ac:dyDescent="0.25">
      <c r="A387" s="244" t="s">
        <v>2951</v>
      </c>
      <c r="B387" s="244" t="s">
        <v>1183</v>
      </c>
      <c r="C387" s="244" t="s">
        <v>2882</v>
      </c>
      <c r="D387" s="245" t="s">
        <v>3102</v>
      </c>
      <c r="E387" s="244" t="s">
        <v>473</v>
      </c>
      <c r="F387" s="246">
        <v>7.26</v>
      </c>
      <c r="G387" s="246">
        <v>19.489999999999998</v>
      </c>
      <c r="H387" s="246">
        <v>24.35</v>
      </c>
      <c r="I387" s="246">
        <f t="shared" si="8"/>
        <v>176.78</v>
      </c>
      <c r="J387" s="131"/>
      <c r="K387" s="131"/>
      <c r="L387" s="131"/>
    </row>
    <row r="388" spans="1:12" x14ac:dyDescent="0.25">
      <c r="A388" s="244" t="s">
        <v>2953</v>
      </c>
      <c r="B388" s="244" t="s">
        <v>1441</v>
      </c>
      <c r="C388" s="244" t="s">
        <v>504</v>
      </c>
      <c r="D388" s="245" t="s">
        <v>1442</v>
      </c>
      <c r="E388" s="244" t="s">
        <v>473</v>
      </c>
      <c r="F388" s="246">
        <v>8</v>
      </c>
      <c r="G388" s="246">
        <v>100</v>
      </c>
      <c r="H388" s="246">
        <v>124.93</v>
      </c>
      <c r="I388" s="246">
        <f t="shared" si="8"/>
        <v>999.44</v>
      </c>
      <c r="J388" s="131"/>
      <c r="K388" s="131"/>
      <c r="L388" s="131"/>
    </row>
    <row r="389" spans="1:12" x14ac:dyDescent="0.25">
      <c r="A389" s="244" t="s">
        <v>2955</v>
      </c>
      <c r="B389" s="244" t="s">
        <v>1120</v>
      </c>
      <c r="C389" s="244" t="s">
        <v>2882</v>
      </c>
      <c r="D389" s="245" t="s">
        <v>3237</v>
      </c>
      <c r="E389" s="244" t="s">
        <v>473</v>
      </c>
      <c r="F389" s="246">
        <v>6.6</v>
      </c>
      <c r="G389" s="246">
        <v>35.17</v>
      </c>
      <c r="H389" s="246">
        <v>43.94</v>
      </c>
      <c r="I389" s="246">
        <f t="shared" si="8"/>
        <v>290</v>
      </c>
      <c r="J389" s="131"/>
      <c r="K389" s="131"/>
      <c r="L389" s="131"/>
    </row>
    <row r="390" spans="1:12" x14ac:dyDescent="0.25">
      <c r="A390" s="244" t="s">
        <v>2958</v>
      </c>
      <c r="B390" s="244" t="s">
        <v>1084</v>
      </c>
      <c r="C390" s="244" t="s">
        <v>2882</v>
      </c>
      <c r="D390" s="245" t="s">
        <v>3238</v>
      </c>
      <c r="E390" s="244" t="s">
        <v>1082</v>
      </c>
      <c r="F390" s="246">
        <v>4</v>
      </c>
      <c r="G390" s="246">
        <v>50.58</v>
      </c>
      <c r="H390" s="246">
        <v>63.19</v>
      </c>
      <c r="I390" s="246">
        <f t="shared" si="8"/>
        <v>252.76</v>
      </c>
      <c r="J390" s="131"/>
      <c r="K390" s="131"/>
      <c r="L390" s="131"/>
    </row>
    <row r="391" spans="1:12" x14ac:dyDescent="0.25">
      <c r="A391" s="244" t="s">
        <v>2960</v>
      </c>
      <c r="B391" s="244" t="s">
        <v>1429</v>
      </c>
      <c r="C391" s="244" t="s">
        <v>504</v>
      </c>
      <c r="D391" s="245" t="s">
        <v>1430</v>
      </c>
      <c r="E391" s="244" t="s">
        <v>1082</v>
      </c>
      <c r="F391" s="246">
        <v>3</v>
      </c>
      <c r="G391" s="246">
        <v>143.72</v>
      </c>
      <c r="H391" s="246">
        <v>179.55</v>
      </c>
      <c r="I391" s="246">
        <f t="shared" si="8"/>
        <v>538.65</v>
      </c>
      <c r="J391" s="131"/>
      <c r="K391" s="131"/>
      <c r="L391" s="131"/>
    </row>
    <row r="392" spans="1:12" x14ac:dyDescent="0.25">
      <c r="A392" s="244" t="s">
        <v>3239</v>
      </c>
      <c r="B392" s="244" t="s">
        <v>1108</v>
      </c>
      <c r="C392" s="244" t="s">
        <v>2882</v>
      </c>
      <c r="D392" s="245" t="s">
        <v>3203</v>
      </c>
      <c r="E392" s="244" t="s">
        <v>1082</v>
      </c>
      <c r="F392" s="246">
        <v>2</v>
      </c>
      <c r="G392" s="246">
        <v>443.63</v>
      </c>
      <c r="H392" s="246">
        <v>554.23</v>
      </c>
      <c r="I392" s="246">
        <f t="shared" si="8"/>
        <v>1108.46</v>
      </c>
      <c r="J392" s="131"/>
      <c r="K392" s="131"/>
      <c r="L392" s="131"/>
    </row>
    <row r="393" spans="1:12" x14ac:dyDescent="0.25">
      <c r="A393" s="244" t="s">
        <v>3240</v>
      </c>
      <c r="B393" s="244" t="s">
        <v>1111</v>
      </c>
      <c r="C393" s="244" t="s">
        <v>2882</v>
      </c>
      <c r="D393" s="245" t="s">
        <v>3241</v>
      </c>
      <c r="E393" s="244" t="s">
        <v>1082</v>
      </c>
      <c r="F393" s="246">
        <v>2</v>
      </c>
      <c r="G393" s="246">
        <v>67.88</v>
      </c>
      <c r="H393" s="246">
        <v>84.8</v>
      </c>
      <c r="I393" s="246">
        <f t="shared" si="8"/>
        <v>169.6</v>
      </c>
      <c r="J393" s="131"/>
      <c r="K393" s="131"/>
      <c r="L393" s="131"/>
    </row>
    <row r="394" spans="1:12" x14ac:dyDescent="0.25">
      <c r="A394" s="244" t="s">
        <v>3242</v>
      </c>
      <c r="B394" s="244" t="s">
        <v>1102</v>
      </c>
      <c r="C394" s="244" t="s">
        <v>2882</v>
      </c>
      <c r="D394" s="245" t="s">
        <v>3243</v>
      </c>
      <c r="E394" s="244" t="s">
        <v>1082</v>
      </c>
      <c r="F394" s="246">
        <v>7</v>
      </c>
      <c r="G394" s="246">
        <v>140.79</v>
      </c>
      <c r="H394" s="246">
        <v>175.89</v>
      </c>
      <c r="I394" s="246">
        <f t="shared" si="8"/>
        <v>1231.23</v>
      </c>
      <c r="J394" s="131"/>
      <c r="K394" s="131"/>
      <c r="L394" s="131"/>
    </row>
    <row r="395" spans="1:12" x14ac:dyDescent="0.25">
      <c r="A395" s="244" t="s">
        <v>3244</v>
      </c>
      <c r="B395" s="244" t="s">
        <v>1432</v>
      </c>
      <c r="C395" s="244" t="s">
        <v>504</v>
      </c>
      <c r="D395" s="245" t="s">
        <v>1433</v>
      </c>
      <c r="E395" s="244" t="s">
        <v>1082</v>
      </c>
      <c r="F395" s="246">
        <v>2</v>
      </c>
      <c r="G395" s="246">
        <v>72.819999999999993</v>
      </c>
      <c r="H395" s="246">
        <v>90.97</v>
      </c>
      <c r="I395" s="246">
        <f t="shared" si="8"/>
        <v>181.94</v>
      </c>
      <c r="J395" s="131"/>
      <c r="K395" s="131"/>
      <c r="L395" s="131"/>
    </row>
    <row r="396" spans="1:12" x14ac:dyDescent="0.25">
      <c r="A396" s="244" t="s">
        <v>3245</v>
      </c>
      <c r="B396" s="244" t="s">
        <v>1138</v>
      </c>
      <c r="C396" s="244" t="s">
        <v>2882</v>
      </c>
      <c r="D396" s="245" t="s">
        <v>3246</v>
      </c>
      <c r="E396" s="244" t="s">
        <v>1082</v>
      </c>
      <c r="F396" s="246">
        <v>6</v>
      </c>
      <c r="G396" s="246">
        <v>130.66999999999999</v>
      </c>
      <c r="H396" s="246">
        <v>163.25</v>
      </c>
      <c r="I396" s="246">
        <f t="shared" si="8"/>
        <v>979.5</v>
      </c>
      <c r="J396" s="131"/>
      <c r="K396" s="131"/>
      <c r="L396" s="131"/>
    </row>
    <row r="397" spans="1:12" x14ac:dyDescent="0.25">
      <c r="A397" s="244" t="s">
        <v>3247</v>
      </c>
      <c r="B397" s="244" t="s">
        <v>1114</v>
      </c>
      <c r="C397" s="244" t="s">
        <v>2882</v>
      </c>
      <c r="D397" s="245" t="s">
        <v>3201</v>
      </c>
      <c r="E397" s="244" t="s">
        <v>1082</v>
      </c>
      <c r="F397" s="246">
        <v>4</v>
      </c>
      <c r="G397" s="246">
        <v>142.99</v>
      </c>
      <c r="H397" s="246">
        <v>178.64</v>
      </c>
      <c r="I397" s="246">
        <f t="shared" si="8"/>
        <v>714.56</v>
      </c>
      <c r="J397" s="131"/>
      <c r="K397" s="131"/>
      <c r="L397" s="131"/>
    </row>
    <row r="398" spans="1:12" x14ac:dyDescent="0.25">
      <c r="A398" s="244" t="s">
        <v>3248</v>
      </c>
      <c r="B398" s="244" t="s">
        <v>1417</v>
      </c>
      <c r="C398" s="244" t="s">
        <v>2956</v>
      </c>
      <c r="D398" s="245" t="s">
        <v>3249</v>
      </c>
      <c r="E398" s="244" t="s">
        <v>1082</v>
      </c>
      <c r="F398" s="246">
        <v>2</v>
      </c>
      <c r="G398" s="246">
        <v>71.33</v>
      </c>
      <c r="H398" s="246">
        <v>89.11</v>
      </c>
      <c r="I398" s="246">
        <f t="shared" si="8"/>
        <v>178.22</v>
      </c>
      <c r="J398" s="131"/>
      <c r="K398" s="131"/>
      <c r="L398" s="131"/>
    </row>
    <row r="399" spans="1:12" ht="22.5" x14ac:dyDescent="0.25">
      <c r="A399" s="244" t="s">
        <v>3250</v>
      </c>
      <c r="B399" s="244" t="s">
        <v>1132</v>
      </c>
      <c r="C399" s="244" t="s">
        <v>2882</v>
      </c>
      <c r="D399" s="245" t="s">
        <v>3251</v>
      </c>
      <c r="E399" s="244" t="s">
        <v>1082</v>
      </c>
      <c r="F399" s="246">
        <v>2</v>
      </c>
      <c r="G399" s="246">
        <v>329.22</v>
      </c>
      <c r="H399" s="246">
        <v>411.29</v>
      </c>
      <c r="I399" s="246">
        <f t="shared" si="8"/>
        <v>822.58</v>
      </c>
      <c r="J399" s="131"/>
      <c r="K399" s="131"/>
      <c r="L399" s="131"/>
    </row>
    <row r="400" spans="1:12" x14ac:dyDescent="0.25">
      <c r="A400" s="244" t="s">
        <v>3252</v>
      </c>
      <c r="B400" s="244" t="s">
        <v>1438</v>
      </c>
      <c r="C400" s="244" t="s">
        <v>504</v>
      </c>
      <c r="D400" s="245" t="s">
        <v>1439</v>
      </c>
      <c r="E400" s="244" t="s">
        <v>1082</v>
      </c>
      <c r="F400" s="246">
        <v>2</v>
      </c>
      <c r="G400" s="246">
        <v>34.5</v>
      </c>
      <c r="H400" s="246">
        <v>43.1</v>
      </c>
      <c r="I400" s="246">
        <f t="shared" si="8"/>
        <v>86.2</v>
      </c>
      <c r="J400" s="131"/>
      <c r="K400" s="131"/>
      <c r="L400" s="131"/>
    </row>
    <row r="401" spans="1:12" x14ac:dyDescent="0.25">
      <c r="A401" s="244" t="s">
        <v>3253</v>
      </c>
      <c r="B401" s="244" t="s">
        <v>1336</v>
      </c>
      <c r="C401" s="244" t="s">
        <v>2956</v>
      </c>
      <c r="D401" s="245" t="s">
        <v>3254</v>
      </c>
      <c r="E401" s="244" t="s">
        <v>1082</v>
      </c>
      <c r="F401" s="246">
        <v>1</v>
      </c>
      <c r="G401" s="246">
        <v>8976.48</v>
      </c>
      <c r="H401" s="246">
        <v>11214.32</v>
      </c>
      <c r="I401" s="246">
        <f t="shared" si="8"/>
        <v>11214.32</v>
      </c>
      <c r="J401" s="131"/>
      <c r="K401" s="131"/>
      <c r="L401" s="131"/>
    </row>
    <row r="402" spans="1:12" x14ac:dyDescent="0.25">
      <c r="A402" s="252" t="s">
        <v>2962</v>
      </c>
      <c r="B402" s="252"/>
      <c r="C402" s="252"/>
      <c r="D402" s="253" t="s">
        <v>3255</v>
      </c>
      <c r="E402" s="252"/>
      <c r="F402" s="255"/>
      <c r="G402" s="255"/>
      <c r="H402" s="255"/>
      <c r="I402" s="255">
        <f>I403</f>
        <v>31559.52</v>
      </c>
      <c r="J402" s="131"/>
      <c r="K402" s="131"/>
      <c r="L402" s="131"/>
    </row>
    <row r="403" spans="1:12" x14ac:dyDescent="0.25">
      <c r="A403" s="244" t="s">
        <v>2964</v>
      </c>
      <c r="B403" s="244" t="s">
        <v>1426</v>
      </c>
      <c r="C403" s="244" t="s">
        <v>504</v>
      </c>
      <c r="D403" s="245" t="s">
        <v>1427</v>
      </c>
      <c r="E403" s="244" t="s">
        <v>1082</v>
      </c>
      <c r="F403" s="246">
        <v>2</v>
      </c>
      <c r="G403" s="246">
        <v>12630.88</v>
      </c>
      <c r="H403" s="246">
        <v>15779.76</v>
      </c>
      <c r="I403" s="246">
        <f>ROUND(F403*H403,2)</f>
        <v>31559.52</v>
      </c>
      <c r="J403" s="131"/>
      <c r="K403" s="131"/>
      <c r="L403" s="131"/>
    </row>
    <row r="404" spans="1:12" x14ac:dyDescent="0.25">
      <c r="A404" s="660" t="s">
        <v>2945</v>
      </c>
      <c r="B404" s="660"/>
      <c r="C404" s="660"/>
      <c r="D404" s="250" t="s">
        <v>3256</v>
      </c>
      <c r="E404" s="660"/>
      <c r="F404" s="260"/>
      <c r="G404" s="260"/>
      <c r="H404" s="260"/>
      <c r="I404" s="260"/>
      <c r="J404" s="131"/>
      <c r="K404" s="131"/>
      <c r="L404" s="131"/>
    </row>
    <row r="405" spans="1:12" x14ac:dyDescent="0.25">
      <c r="A405" s="252" t="s">
        <v>2947</v>
      </c>
      <c r="B405" s="252"/>
      <c r="C405" s="252"/>
      <c r="D405" s="253" t="s">
        <v>2948</v>
      </c>
      <c r="E405" s="252"/>
      <c r="F405" s="254"/>
      <c r="G405" s="255"/>
      <c r="H405" s="255"/>
      <c r="I405" s="255">
        <f>SUM(I406:I411)</f>
        <v>18708.560000000001</v>
      </c>
      <c r="J405" s="131"/>
      <c r="K405" s="131"/>
      <c r="L405" s="131"/>
    </row>
    <row r="406" spans="1:12" ht="22.5" x14ac:dyDescent="0.25">
      <c r="A406" s="244" t="s">
        <v>2949</v>
      </c>
      <c r="B406" s="244" t="s">
        <v>1162</v>
      </c>
      <c r="C406" s="244" t="s">
        <v>2882</v>
      </c>
      <c r="D406" s="245" t="s">
        <v>2950</v>
      </c>
      <c r="E406" s="244" t="s">
        <v>473</v>
      </c>
      <c r="F406" s="246">
        <v>348</v>
      </c>
      <c r="G406" s="246">
        <v>11.78</v>
      </c>
      <c r="H406" s="246">
        <v>14.72</v>
      </c>
      <c r="I406" s="246">
        <f t="shared" ref="I406:I411" si="9">ROUND(F406*H406,2)</f>
        <v>5122.5600000000004</v>
      </c>
      <c r="J406" s="131"/>
      <c r="K406" s="131"/>
      <c r="L406" s="131"/>
    </row>
    <row r="407" spans="1:12" ht="22.5" x14ac:dyDescent="0.25">
      <c r="A407" s="244" t="s">
        <v>2951</v>
      </c>
      <c r="B407" s="244" t="s">
        <v>1177</v>
      </c>
      <c r="C407" s="244" t="s">
        <v>2882</v>
      </c>
      <c r="D407" s="245" t="s">
        <v>2952</v>
      </c>
      <c r="E407" s="244" t="s">
        <v>473</v>
      </c>
      <c r="F407" s="246">
        <v>159</v>
      </c>
      <c r="G407" s="246">
        <v>9.17</v>
      </c>
      <c r="H407" s="246">
        <v>11.46</v>
      </c>
      <c r="I407" s="246">
        <f t="shared" si="9"/>
        <v>1822.14</v>
      </c>
      <c r="J407" s="131"/>
      <c r="K407" s="131"/>
      <c r="L407" s="131"/>
    </row>
    <row r="408" spans="1:12" ht="22.5" x14ac:dyDescent="0.25">
      <c r="A408" s="244" t="s">
        <v>2953</v>
      </c>
      <c r="B408" s="244" t="s">
        <v>1180</v>
      </c>
      <c r="C408" s="244" t="s">
        <v>2882</v>
      </c>
      <c r="D408" s="245" t="s">
        <v>2954</v>
      </c>
      <c r="E408" s="244" t="s">
        <v>473</v>
      </c>
      <c r="F408" s="246">
        <v>67.12</v>
      </c>
      <c r="G408" s="246">
        <v>14</v>
      </c>
      <c r="H408" s="246">
        <v>17.489999999999998</v>
      </c>
      <c r="I408" s="246">
        <f t="shared" si="9"/>
        <v>1173.93</v>
      </c>
      <c r="J408" s="131"/>
      <c r="K408" s="131"/>
      <c r="L408" s="131"/>
    </row>
    <row r="409" spans="1:12" ht="22.5" x14ac:dyDescent="0.25">
      <c r="A409" s="244" t="s">
        <v>2955</v>
      </c>
      <c r="B409" s="244" t="s">
        <v>1183</v>
      </c>
      <c r="C409" s="244" t="s">
        <v>2882</v>
      </c>
      <c r="D409" s="245" t="s">
        <v>3102</v>
      </c>
      <c r="E409" s="244" t="s">
        <v>473</v>
      </c>
      <c r="F409" s="246">
        <v>4.4000000000000004</v>
      </c>
      <c r="G409" s="246">
        <v>19.489999999999998</v>
      </c>
      <c r="H409" s="246">
        <v>24.35</v>
      </c>
      <c r="I409" s="246">
        <f t="shared" si="9"/>
        <v>107.14</v>
      </c>
      <c r="J409" s="131"/>
      <c r="K409" s="131"/>
      <c r="L409" s="131"/>
    </row>
    <row r="410" spans="1:12" ht="22.5" x14ac:dyDescent="0.25">
      <c r="A410" s="244" t="s">
        <v>2958</v>
      </c>
      <c r="B410" s="244" t="s">
        <v>1213</v>
      </c>
      <c r="C410" s="244" t="s">
        <v>2882</v>
      </c>
      <c r="D410" s="245" t="s">
        <v>2959</v>
      </c>
      <c r="E410" s="244" t="s">
        <v>473</v>
      </c>
      <c r="F410" s="246">
        <v>578.52</v>
      </c>
      <c r="G410" s="246">
        <v>7.23</v>
      </c>
      <c r="H410" s="246">
        <v>9.0299999999999994</v>
      </c>
      <c r="I410" s="246">
        <f t="shared" si="9"/>
        <v>5224.04</v>
      </c>
      <c r="J410" s="131"/>
      <c r="K410" s="131"/>
      <c r="L410" s="131"/>
    </row>
    <row r="411" spans="1:12" ht="22.5" x14ac:dyDescent="0.25">
      <c r="A411" s="244" t="s">
        <v>2960</v>
      </c>
      <c r="B411" s="244" t="s">
        <v>1216</v>
      </c>
      <c r="C411" s="244" t="s">
        <v>2882</v>
      </c>
      <c r="D411" s="245" t="s">
        <v>2961</v>
      </c>
      <c r="E411" s="244" t="s">
        <v>473</v>
      </c>
      <c r="F411" s="246">
        <v>578.52</v>
      </c>
      <c r="G411" s="246">
        <v>7.28</v>
      </c>
      <c r="H411" s="246">
        <v>9.09</v>
      </c>
      <c r="I411" s="246">
        <f t="shared" si="9"/>
        <v>5258.75</v>
      </c>
      <c r="J411" s="131"/>
      <c r="K411" s="131"/>
      <c r="L411" s="131"/>
    </row>
    <row r="412" spans="1:12" x14ac:dyDescent="0.25">
      <c r="A412" s="252" t="s">
        <v>2962</v>
      </c>
      <c r="B412" s="252"/>
      <c r="C412" s="252"/>
      <c r="D412" s="253" t="s">
        <v>2963</v>
      </c>
      <c r="E412" s="252"/>
      <c r="F412" s="254"/>
      <c r="G412" s="255"/>
      <c r="H412" s="255"/>
      <c r="I412" s="255">
        <f>SUM(I413:I430)</f>
        <v>20143.490000000005</v>
      </c>
      <c r="J412" s="131"/>
      <c r="K412" s="131"/>
      <c r="L412" s="131"/>
    </row>
    <row r="413" spans="1:12" x14ac:dyDescent="0.25">
      <c r="A413" s="244" t="s">
        <v>2964</v>
      </c>
      <c r="B413" s="244" t="s">
        <v>1243</v>
      </c>
      <c r="C413" s="244" t="s">
        <v>2956</v>
      </c>
      <c r="D413" s="245" t="s">
        <v>2965</v>
      </c>
      <c r="E413" s="244" t="s">
        <v>1082</v>
      </c>
      <c r="F413" s="246">
        <v>28</v>
      </c>
      <c r="G413" s="246">
        <v>7.54</v>
      </c>
      <c r="H413" s="246">
        <v>9.42</v>
      </c>
      <c r="I413" s="246">
        <f>ROUND(F413*H413,2)</f>
        <v>263.76</v>
      </c>
      <c r="J413" s="131"/>
      <c r="K413" s="131"/>
      <c r="L413" s="131"/>
    </row>
    <row r="414" spans="1:12" x14ac:dyDescent="0.25">
      <c r="A414" s="244" t="s">
        <v>2966</v>
      </c>
      <c r="B414" s="244" t="s">
        <v>1246</v>
      </c>
      <c r="C414" s="244" t="s">
        <v>2956</v>
      </c>
      <c r="D414" s="245" t="s">
        <v>3257</v>
      </c>
      <c r="E414" s="244" t="s">
        <v>1082</v>
      </c>
      <c r="F414" s="246">
        <v>2</v>
      </c>
      <c r="G414" s="246">
        <v>24.4</v>
      </c>
      <c r="H414" s="246">
        <v>30.48</v>
      </c>
      <c r="I414" s="246">
        <f t="shared" ref="I414:I430" si="10">ROUND(F414*H414,2)</f>
        <v>60.96</v>
      </c>
      <c r="J414" s="131"/>
      <c r="K414" s="131"/>
      <c r="L414" s="131"/>
    </row>
    <row r="415" spans="1:12" x14ac:dyDescent="0.25">
      <c r="A415" s="244" t="s">
        <v>2968</v>
      </c>
      <c r="B415" s="244" t="s">
        <v>1363</v>
      </c>
      <c r="C415" s="244" t="s">
        <v>504</v>
      </c>
      <c r="D415" s="245" t="s">
        <v>3012</v>
      </c>
      <c r="E415" s="244" t="s">
        <v>1082</v>
      </c>
      <c r="F415" s="246">
        <v>2</v>
      </c>
      <c r="G415" s="246">
        <v>34.119999999999997</v>
      </c>
      <c r="H415" s="246">
        <v>42.63</v>
      </c>
      <c r="I415" s="246">
        <f t="shared" si="10"/>
        <v>85.26</v>
      </c>
      <c r="J415" s="131"/>
      <c r="K415" s="131"/>
      <c r="L415" s="131"/>
    </row>
    <row r="416" spans="1:12" x14ac:dyDescent="0.25">
      <c r="A416" s="244" t="s">
        <v>2970</v>
      </c>
      <c r="B416" s="244" t="s">
        <v>1360</v>
      </c>
      <c r="C416" s="244" t="s">
        <v>504</v>
      </c>
      <c r="D416" s="245" t="s">
        <v>3010</v>
      </c>
      <c r="E416" s="244" t="s">
        <v>1082</v>
      </c>
      <c r="F416" s="246">
        <v>25</v>
      </c>
      <c r="G416" s="246">
        <v>31.74</v>
      </c>
      <c r="H416" s="246">
        <v>39.65</v>
      </c>
      <c r="I416" s="246">
        <f t="shared" si="10"/>
        <v>991.25</v>
      </c>
      <c r="J416" s="131"/>
      <c r="K416" s="131"/>
      <c r="L416" s="131"/>
    </row>
    <row r="417" spans="1:12" ht="22.5" x14ac:dyDescent="0.25">
      <c r="A417" s="244" t="s">
        <v>2972</v>
      </c>
      <c r="B417" s="244" t="s">
        <v>1192</v>
      </c>
      <c r="C417" s="244" t="s">
        <v>2882</v>
      </c>
      <c r="D417" s="245" t="s">
        <v>2973</v>
      </c>
      <c r="E417" s="244" t="s">
        <v>1082</v>
      </c>
      <c r="F417" s="246">
        <v>2</v>
      </c>
      <c r="G417" s="246">
        <v>8.2100000000000009</v>
      </c>
      <c r="H417" s="246">
        <v>10.26</v>
      </c>
      <c r="I417" s="246">
        <f t="shared" si="10"/>
        <v>20.52</v>
      </c>
      <c r="J417" s="131"/>
      <c r="K417" s="131"/>
      <c r="L417" s="131"/>
    </row>
    <row r="418" spans="1:12" ht="22.5" x14ac:dyDescent="0.25">
      <c r="A418" s="244" t="s">
        <v>2974</v>
      </c>
      <c r="B418" s="244" t="s">
        <v>1165</v>
      </c>
      <c r="C418" s="244" t="s">
        <v>2882</v>
      </c>
      <c r="D418" s="245" t="s">
        <v>2975</v>
      </c>
      <c r="E418" s="244" t="s">
        <v>1082</v>
      </c>
      <c r="F418" s="246">
        <v>173</v>
      </c>
      <c r="G418" s="246">
        <v>4.88</v>
      </c>
      <c r="H418" s="246">
        <v>6.1</v>
      </c>
      <c r="I418" s="246">
        <f t="shared" si="10"/>
        <v>1055.3</v>
      </c>
      <c r="J418" s="131"/>
      <c r="K418" s="131"/>
      <c r="L418" s="131"/>
    </row>
    <row r="419" spans="1:12" ht="22.5" x14ac:dyDescent="0.25">
      <c r="A419" s="244" t="s">
        <v>2976</v>
      </c>
      <c r="B419" s="244" t="s">
        <v>1189</v>
      </c>
      <c r="C419" s="244" t="s">
        <v>2882</v>
      </c>
      <c r="D419" s="245" t="s">
        <v>2977</v>
      </c>
      <c r="E419" s="244" t="s">
        <v>1082</v>
      </c>
      <c r="F419" s="246">
        <v>24</v>
      </c>
      <c r="G419" s="246">
        <v>7.18</v>
      </c>
      <c r="H419" s="246">
        <v>8.9700000000000006</v>
      </c>
      <c r="I419" s="246">
        <f t="shared" si="10"/>
        <v>215.28</v>
      </c>
      <c r="J419" s="131"/>
      <c r="K419" s="131"/>
      <c r="L419" s="131"/>
    </row>
    <row r="420" spans="1:12" ht="22.5" x14ac:dyDescent="0.25">
      <c r="A420" s="244" t="s">
        <v>2978</v>
      </c>
      <c r="B420" s="244" t="s">
        <v>1195</v>
      </c>
      <c r="C420" s="244" t="s">
        <v>2882</v>
      </c>
      <c r="D420" s="245" t="s">
        <v>2979</v>
      </c>
      <c r="E420" s="244" t="s">
        <v>1082</v>
      </c>
      <c r="F420" s="246">
        <v>12</v>
      </c>
      <c r="G420" s="246">
        <v>19.350000000000001</v>
      </c>
      <c r="H420" s="246">
        <v>24.17</v>
      </c>
      <c r="I420" s="246">
        <f t="shared" si="10"/>
        <v>290.04000000000002</v>
      </c>
      <c r="J420" s="131"/>
      <c r="K420" s="131"/>
      <c r="L420" s="131"/>
    </row>
    <row r="421" spans="1:12" ht="22.5" x14ac:dyDescent="0.25">
      <c r="A421" s="244" t="s">
        <v>2980</v>
      </c>
      <c r="B421" s="244" t="s">
        <v>1168</v>
      </c>
      <c r="C421" s="244" t="s">
        <v>2882</v>
      </c>
      <c r="D421" s="245" t="s">
        <v>2981</v>
      </c>
      <c r="E421" s="244" t="s">
        <v>1082</v>
      </c>
      <c r="F421" s="246">
        <v>84</v>
      </c>
      <c r="G421" s="246">
        <v>8.65</v>
      </c>
      <c r="H421" s="246">
        <v>10.81</v>
      </c>
      <c r="I421" s="246">
        <f t="shared" si="10"/>
        <v>908.04</v>
      </c>
      <c r="J421" s="131"/>
      <c r="K421" s="131"/>
      <c r="L421" s="131"/>
    </row>
    <row r="422" spans="1:12" ht="22.5" x14ac:dyDescent="0.25">
      <c r="A422" s="244" t="s">
        <v>2982</v>
      </c>
      <c r="B422" s="244" t="s">
        <v>1198</v>
      </c>
      <c r="C422" s="244" t="s">
        <v>2882</v>
      </c>
      <c r="D422" s="245" t="s">
        <v>3258</v>
      </c>
      <c r="E422" s="244" t="s">
        <v>1082</v>
      </c>
      <c r="F422" s="246">
        <v>1</v>
      </c>
      <c r="G422" s="246">
        <v>52.69</v>
      </c>
      <c r="H422" s="246">
        <v>65.83</v>
      </c>
      <c r="I422" s="246">
        <f t="shared" si="10"/>
        <v>65.83</v>
      </c>
      <c r="J422" s="131"/>
      <c r="K422" s="131"/>
      <c r="L422" s="131"/>
    </row>
    <row r="423" spans="1:12" x14ac:dyDescent="0.25">
      <c r="A423" s="244" t="s">
        <v>2984</v>
      </c>
      <c r="B423" s="244" t="s">
        <v>2987</v>
      </c>
      <c r="C423" s="244" t="s">
        <v>2882</v>
      </c>
      <c r="D423" s="245" t="s">
        <v>2988</v>
      </c>
      <c r="E423" s="244" t="s">
        <v>1082</v>
      </c>
      <c r="F423" s="246">
        <v>55</v>
      </c>
      <c r="G423" s="246">
        <v>72.569999999999993</v>
      </c>
      <c r="H423" s="246">
        <v>90.66</v>
      </c>
      <c r="I423" s="246">
        <f t="shared" si="10"/>
        <v>4986.3</v>
      </c>
      <c r="J423" s="131"/>
      <c r="K423" s="131"/>
      <c r="L423" s="131"/>
    </row>
    <row r="424" spans="1:12" ht="22.5" x14ac:dyDescent="0.25">
      <c r="A424" s="244" t="s">
        <v>2986</v>
      </c>
      <c r="B424" s="244" t="s">
        <v>1207</v>
      </c>
      <c r="C424" s="244" t="s">
        <v>2882</v>
      </c>
      <c r="D424" s="245" t="s">
        <v>3008</v>
      </c>
      <c r="E424" s="244" t="s">
        <v>1082</v>
      </c>
      <c r="F424" s="246">
        <v>58</v>
      </c>
      <c r="G424" s="246">
        <v>48.35</v>
      </c>
      <c r="H424" s="246">
        <v>60.4</v>
      </c>
      <c r="I424" s="246">
        <f t="shared" si="10"/>
        <v>3503.2</v>
      </c>
      <c r="J424" s="131"/>
      <c r="K424" s="131"/>
      <c r="L424" s="131"/>
    </row>
    <row r="425" spans="1:12" ht="22.5" x14ac:dyDescent="0.25">
      <c r="A425" s="244" t="s">
        <v>2989</v>
      </c>
      <c r="B425" s="244" t="s">
        <v>1372</v>
      </c>
      <c r="C425" s="244" t="s">
        <v>504</v>
      </c>
      <c r="D425" s="245" t="s">
        <v>2992</v>
      </c>
      <c r="E425" s="244" t="s">
        <v>1082</v>
      </c>
      <c r="F425" s="246">
        <v>71</v>
      </c>
      <c r="G425" s="246">
        <v>13.43</v>
      </c>
      <c r="H425" s="246">
        <v>16.78</v>
      </c>
      <c r="I425" s="246">
        <f t="shared" si="10"/>
        <v>1191.3800000000001</v>
      </c>
      <c r="J425" s="131"/>
      <c r="K425" s="131"/>
      <c r="L425" s="131"/>
    </row>
    <row r="426" spans="1:12" x14ac:dyDescent="0.25">
      <c r="A426" s="244" t="s">
        <v>2991</v>
      </c>
      <c r="B426" s="244" t="s">
        <v>1294</v>
      </c>
      <c r="C426" s="244" t="s">
        <v>2956</v>
      </c>
      <c r="D426" s="245" t="s">
        <v>2994</v>
      </c>
      <c r="E426" s="244" t="s">
        <v>1082</v>
      </c>
      <c r="F426" s="246">
        <v>29</v>
      </c>
      <c r="G426" s="246">
        <v>14.53</v>
      </c>
      <c r="H426" s="246">
        <v>18.149999999999999</v>
      </c>
      <c r="I426" s="246">
        <f t="shared" si="10"/>
        <v>526.35</v>
      </c>
      <c r="J426" s="131"/>
      <c r="K426" s="131"/>
      <c r="L426" s="131"/>
    </row>
    <row r="427" spans="1:12" x14ac:dyDescent="0.25">
      <c r="A427" s="244" t="s">
        <v>2993</v>
      </c>
      <c r="B427" s="244" t="s">
        <v>1297</v>
      </c>
      <c r="C427" s="244" t="s">
        <v>2956</v>
      </c>
      <c r="D427" s="245" t="s">
        <v>2996</v>
      </c>
      <c r="E427" s="244" t="s">
        <v>1082</v>
      </c>
      <c r="F427" s="246">
        <v>3</v>
      </c>
      <c r="G427" s="246">
        <v>28.96</v>
      </c>
      <c r="H427" s="246">
        <v>36.18</v>
      </c>
      <c r="I427" s="246">
        <f t="shared" si="10"/>
        <v>108.54</v>
      </c>
      <c r="J427" s="131"/>
      <c r="K427" s="131"/>
      <c r="L427" s="131"/>
    </row>
    <row r="428" spans="1:12" x14ac:dyDescent="0.25">
      <c r="A428" s="244" t="s">
        <v>2995</v>
      </c>
      <c r="B428" s="244" t="s">
        <v>1291</v>
      </c>
      <c r="C428" s="244" t="s">
        <v>2956</v>
      </c>
      <c r="D428" s="245" t="s">
        <v>2998</v>
      </c>
      <c r="E428" s="244" t="s">
        <v>1082</v>
      </c>
      <c r="F428" s="246">
        <v>33</v>
      </c>
      <c r="G428" s="246">
        <v>5.99</v>
      </c>
      <c r="H428" s="246">
        <v>7.48</v>
      </c>
      <c r="I428" s="246">
        <f t="shared" si="10"/>
        <v>246.84</v>
      </c>
      <c r="J428" s="131"/>
      <c r="K428" s="131"/>
      <c r="L428" s="131"/>
    </row>
    <row r="429" spans="1:12" ht="22.5" x14ac:dyDescent="0.25">
      <c r="A429" s="244" t="s">
        <v>2997</v>
      </c>
      <c r="B429" s="244" t="s">
        <v>1201</v>
      </c>
      <c r="C429" s="244" t="s">
        <v>2882</v>
      </c>
      <c r="D429" s="245" t="s">
        <v>3000</v>
      </c>
      <c r="E429" s="244" t="s">
        <v>1082</v>
      </c>
      <c r="F429" s="246">
        <v>12</v>
      </c>
      <c r="G429" s="246">
        <v>12.04</v>
      </c>
      <c r="H429" s="246">
        <v>15.04</v>
      </c>
      <c r="I429" s="246">
        <f t="shared" si="10"/>
        <v>180.48</v>
      </c>
      <c r="J429" s="131"/>
      <c r="K429" s="131"/>
      <c r="L429" s="131"/>
    </row>
    <row r="430" spans="1:12" x14ac:dyDescent="0.25">
      <c r="A430" s="244" t="s">
        <v>3106</v>
      </c>
      <c r="B430" s="244" t="s">
        <v>1327</v>
      </c>
      <c r="C430" s="244" t="s">
        <v>2956</v>
      </c>
      <c r="D430" s="245" t="s">
        <v>3002</v>
      </c>
      <c r="E430" s="244" t="s">
        <v>1082</v>
      </c>
      <c r="F430" s="246">
        <v>32</v>
      </c>
      <c r="G430" s="246">
        <v>136.18</v>
      </c>
      <c r="H430" s="246">
        <v>170.13</v>
      </c>
      <c r="I430" s="246">
        <f t="shared" si="10"/>
        <v>5444.16</v>
      </c>
      <c r="J430" s="131"/>
      <c r="K430" s="131"/>
      <c r="L430" s="131"/>
    </row>
    <row r="431" spans="1:12" x14ac:dyDescent="0.25">
      <c r="A431" s="252" t="s">
        <v>3013</v>
      </c>
      <c r="B431" s="252"/>
      <c r="C431" s="252"/>
      <c r="D431" s="253" t="s">
        <v>3014</v>
      </c>
      <c r="E431" s="252"/>
      <c r="F431" s="254"/>
      <c r="G431" s="255"/>
      <c r="H431" s="255"/>
      <c r="I431" s="255">
        <f>I432+I437</f>
        <v>11240.98</v>
      </c>
      <c r="J431" s="131"/>
      <c r="K431" s="131"/>
      <c r="L431" s="131"/>
    </row>
    <row r="432" spans="1:12" x14ac:dyDescent="0.25">
      <c r="A432" s="261" t="s">
        <v>3015</v>
      </c>
      <c r="B432" s="261"/>
      <c r="C432" s="261"/>
      <c r="D432" s="262" t="s">
        <v>3016</v>
      </c>
      <c r="E432" s="261"/>
      <c r="F432" s="267"/>
      <c r="G432" s="267"/>
      <c r="H432" s="267"/>
      <c r="I432" s="267">
        <f>SUM(I433:I436)</f>
        <v>5781.34</v>
      </c>
      <c r="J432" s="131"/>
      <c r="K432" s="131"/>
      <c r="L432" s="131"/>
    </row>
    <row r="433" spans="1:12" x14ac:dyDescent="0.25">
      <c r="A433" s="244" t="s">
        <v>3017</v>
      </c>
      <c r="B433" s="244" t="s">
        <v>1303</v>
      </c>
      <c r="C433" s="244" t="s">
        <v>2956</v>
      </c>
      <c r="D433" s="245" t="s">
        <v>3021</v>
      </c>
      <c r="E433" s="244" t="s">
        <v>473</v>
      </c>
      <c r="F433" s="246">
        <v>27.46</v>
      </c>
      <c r="G433" s="246">
        <v>32.659999999999997</v>
      </c>
      <c r="H433" s="246">
        <v>40.799999999999997</v>
      </c>
      <c r="I433" s="246">
        <f>ROUND(F433*H433,2)</f>
        <v>1120.3699999999999</v>
      </c>
      <c r="J433" s="131"/>
      <c r="K433" s="131"/>
      <c r="L433" s="131"/>
    </row>
    <row r="434" spans="1:12" x14ac:dyDescent="0.25">
      <c r="A434" s="244" t="s">
        <v>3020</v>
      </c>
      <c r="B434" s="244" t="s">
        <v>1306</v>
      </c>
      <c r="C434" s="244" t="s">
        <v>2956</v>
      </c>
      <c r="D434" s="245" t="s">
        <v>3023</v>
      </c>
      <c r="E434" s="244" t="s">
        <v>473</v>
      </c>
      <c r="F434" s="246">
        <v>54</v>
      </c>
      <c r="G434" s="246">
        <v>47.21</v>
      </c>
      <c r="H434" s="246">
        <v>58.98</v>
      </c>
      <c r="I434" s="246">
        <f t="shared" ref="I434:I457" si="11">ROUND(F434*H434,2)</f>
        <v>3184.92</v>
      </c>
      <c r="J434" s="131"/>
      <c r="K434" s="131"/>
      <c r="L434" s="131"/>
    </row>
    <row r="435" spans="1:12" ht="22.5" x14ac:dyDescent="0.25">
      <c r="A435" s="244" t="s">
        <v>3022</v>
      </c>
      <c r="B435" s="244" t="s">
        <v>1213</v>
      </c>
      <c r="C435" s="244" t="s">
        <v>2882</v>
      </c>
      <c r="D435" s="245" t="s">
        <v>2959</v>
      </c>
      <c r="E435" s="244" t="s">
        <v>473</v>
      </c>
      <c r="F435" s="246">
        <v>81.459999999999994</v>
      </c>
      <c r="G435" s="246">
        <v>7.23</v>
      </c>
      <c r="H435" s="246">
        <v>9.0299999999999994</v>
      </c>
      <c r="I435" s="246">
        <f t="shared" si="11"/>
        <v>735.58</v>
      </c>
      <c r="J435" s="131"/>
      <c r="K435" s="131"/>
      <c r="L435" s="131"/>
    </row>
    <row r="436" spans="1:12" ht="22.5" x14ac:dyDescent="0.25">
      <c r="A436" s="244" t="s">
        <v>3024</v>
      </c>
      <c r="B436" s="244" t="s">
        <v>1216</v>
      </c>
      <c r="C436" s="244" t="s">
        <v>2882</v>
      </c>
      <c r="D436" s="245" t="s">
        <v>2961</v>
      </c>
      <c r="E436" s="244" t="s">
        <v>473</v>
      </c>
      <c r="F436" s="246">
        <v>81.459999999999994</v>
      </c>
      <c r="G436" s="246">
        <v>7.28</v>
      </c>
      <c r="H436" s="246">
        <v>9.09</v>
      </c>
      <c r="I436" s="246">
        <f t="shared" si="11"/>
        <v>740.47</v>
      </c>
      <c r="J436" s="131"/>
      <c r="K436" s="131"/>
      <c r="L436" s="131"/>
    </row>
    <row r="437" spans="1:12" x14ac:dyDescent="0.25">
      <c r="A437" s="261" t="s">
        <v>3032</v>
      </c>
      <c r="B437" s="261"/>
      <c r="C437" s="261"/>
      <c r="D437" s="262" t="s">
        <v>3033</v>
      </c>
      <c r="E437" s="261"/>
      <c r="F437" s="267"/>
      <c r="G437" s="267"/>
      <c r="H437" s="267"/>
      <c r="I437" s="268">
        <f>SUM(I438:I441)</f>
        <v>5459.64</v>
      </c>
      <c r="J437" s="131"/>
      <c r="K437" s="131"/>
      <c r="L437" s="131"/>
    </row>
    <row r="438" spans="1:12" x14ac:dyDescent="0.25">
      <c r="A438" s="244" t="s">
        <v>3034</v>
      </c>
      <c r="B438" s="244" t="s">
        <v>1303</v>
      </c>
      <c r="C438" s="244" t="s">
        <v>2956</v>
      </c>
      <c r="D438" s="245" t="s">
        <v>3021</v>
      </c>
      <c r="E438" s="244" t="s">
        <v>473</v>
      </c>
      <c r="F438" s="246">
        <v>22</v>
      </c>
      <c r="G438" s="246">
        <v>32.659999999999997</v>
      </c>
      <c r="H438" s="246">
        <v>40.799999999999997</v>
      </c>
      <c r="I438" s="246">
        <f t="shared" si="11"/>
        <v>897.6</v>
      </c>
      <c r="J438" s="131"/>
      <c r="K438" s="131"/>
      <c r="L438" s="131"/>
    </row>
    <row r="439" spans="1:12" x14ac:dyDescent="0.25">
      <c r="A439" s="244" t="s">
        <v>3035</v>
      </c>
      <c r="B439" s="244" t="s">
        <v>1306</v>
      </c>
      <c r="C439" s="244" t="s">
        <v>2956</v>
      </c>
      <c r="D439" s="245" t="s">
        <v>3023</v>
      </c>
      <c r="E439" s="244" t="s">
        <v>473</v>
      </c>
      <c r="F439" s="246">
        <v>54</v>
      </c>
      <c r="G439" s="246">
        <v>47.21</v>
      </c>
      <c r="H439" s="246">
        <v>58.98</v>
      </c>
      <c r="I439" s="246">
        <f t="shared" si="11"/>
        <v>3184.92</v>
      </c>
      <c r="J439" s="131"/>
      <c r="K439" s="131"/>
      <c r="L439" s="131"/>
    </row>
    <row r="440" spans="1:12" ht="22.5" x14ac:dyDescent="0.25">
      <c r="A440" s="244" t="s">
        <v>3036</v>
      </c>
      <c r="B440" s="244" t="s">
        <v>1213</v>
      </c>
      <c r="C440" s="244" t="s">
        <v>2882</v>
      </c>
      <c r="D440" s="245" t="s">
        <v>2959</v>
      </c>
      <c r="E440" s="244" t="s">
        <v>473</v>
      </c>
      <c r="F440" s="246">
        <v>76</v>
      </c>
      <c r="G440" s="246">
        <v>7.23</v>
      </c>
      <c r="H440" s="246">
        <v>9.0299999999999994</v>
      </c>
      <c r="I440" s="246">
        <f t="shared" si="11"/>
        <v>686.28</v>
      </c>
      <c r="J440" s="131"/>
      <c r="K440" s="131"/>
      <c r="L440" s="131"/>
    </row>
    <row r="441" spans="1:12" ht="22.5" x14ac:dyDescent="0.25">
      <c r="A441" s="244" t="s">
        <v>3037</v>
      </c>
      <c r="B441" s="244" t="s">
        <v>1216</v>
      </c>
      <c r="C441" s="244" t="s">
        <v>2882</v>
      </c>
      <c r="D441" s="245" t="s">
        <v>2961</v>
      </c>
      <c r="E441" s="244" t="s">
        <v>473</v>
      </c>
      <c r="F441" s="246">
        <v>76</v>
      </c>
      <c r="G441" s="246">
        <v>7.28</v>
      </c>
      <c r="H441" s="246">
        <v>9.09</v>
      </c>
      <c r="I441" s="246">
        <f t="shared" si="11"/>
        <v>690.84</v>
      </c>
      <c r="J441" s="131"/>
      <c r="K441" s="131"/>
      <c r="L441" s="131"/>
    </row>
    <row r="442" spans="1:12" x14ac:dyDescent="0.25">
      <c r="A442" s="252" t="s">
        <v>3041</v>
      </c>
      <c r="B442" s="252"/>
      <c r="C442" s="252"/>
      <c r="D442" s="253" t="s">
        <v>3042</v>
      </c>
      <c r="E442" s="252"/>
      <c r="F442" s="254"/>
      <c r="G442" s="255"/>
      <c r="H442" s="255"/>
      <c r="I442" s="255">
        <f>SUM(I443:I445)</f>
        <v>2582.0099999999998</v>
      </c>
      <c r="J442" s="131"/>
      <c r="K442" s="131"/>
      <c r="L442" s="131"/>
    </row>
    <row r="443" spans="1:12" ht="22.5" x14ac:dyDescent="0.25">
      <c r="A443" s="244" t="s">
        <v>3043</v>
      </c>
      <c r="B443" s="244" t="s">
        <v>1225</v>
      </c>
      <c r="C443" s="244" t="s">
        <v>2882</v>
      </c>
      <c r="D443" s="245" t="s">
        <v>3052</v>
      </c>
      <c r="E443" s="244" t="s">
        <v>1082</v>
      </c>
      <c r="F443" s="246">
        <v>27</v>
      </c>
      <c r="G443" s="246">
        <v>12.13</v>
      </c>
      <c r="H443" s="246">
        <v>15.15</v>
      </c>
      <c r="I443" s="246">
        <f t="shared" si="11"/>
        <v>409.05</v>
      </c>
      <c r="J443" s="131"/>
      <c r="K443" s="131"/>
      <c r="L443" s="131"/>
    </row>
    <row r="444" spans="1:12" ht="22.5" x14ac:dyDescent="0.25">
      <c r="A444" s="244" t="s">
        <v>3045</v>
      </c>
      <c r="B444" s="244" t="s">
        <v>1210</v>
      </c>
      <c r="C444" s="244" t="s">
        <v>2882</v>
      </c>
      <c r="D444" s="245" t="s">
        <v>3058</v>
      </c>
      <c r="E444" s="244" t="s">
        <v>1082</v>
      </c>
      <c r="F444" s="246">
        <v>28</v>
      </c>
      <c r="G444" s="246">
        <v>50.84</v>
      </c>
      <c r="H444" s="246">
        <v>63.51</v>
      </c>
      <c r="I444" s="246">
        <f t="shared" si="11"/>
        <v>1778.28</v>
      </c>
      <c r="J444" s="131"/>
      <c r="K444" s="131"/>
      <c r="L444" s="131"/>
    </row>
    <row r="445" spans="1:12" x14ac:dyDescent="0.25">
      <c r="A445" s="244" t="s">
        <v>3047</v>
      </c>
      <c r="B445" s="244" t="s">
        <v>1279</v>
      </c>
      <c r="C445" s="244" t="s">
        <v>2956</v>
      </c>
      <c r="D445" s="245" t="s">
        <v>3061</v>
      </c>
      <c r="E445" s="244" t="s">
        <v>1082</v>
      </c>
      <c r="F445" s="246">
        <v>26</v>
      </c>
      <c r="G445" s="246">
        <v>12.15</v>
      </c>
      <c r="H445" s="246">
        <v>15.18</v>
      </c>
      <c r="I445" s="246">
        <f t="shared" si="11"/>
        <v>394.68</v>
      </c>
      <c r="J445" s="131"/>
      <c r="K445" s="131"/>
      <c r="L445" s="131"/>
    </row>
    <row r="446" spans="1:12" x14ac:dyDescent="0.25">
      <c r="A446" s="252" t="s">
        <v>3068</v>
      </c>
      <c r="B446" s="252"/>
      <c r="C446" s="252"/>
      <c r="D446" s="253" t="s">
        <v>3069</v>
      </c>
      <c r="E446" s="252"/>
      <c r="F446" s="254"/>
      <c r="G446" s="255"/>
      <c r="H446" s="255"/>
      <c r="I446" s="255">
        <f>SUM(I447:I457)</f>
        <v>89002.01</v>
      </c>
      <c r="J446" s="131"/>
      <c r="K446" s="131"/>
      <c r="L446" s="131"/>
    </row>
    <row r="447" spans="1:12" x14ac:dyDescent="0.25">
      <c r="A447" s="244" t="s">
        <v>3110</v>
      </c>
      <c r="B447" s="244" t="s">
        <v>3071</v>
      </c>
      <c r="C447" s="244" t="s">
        <v>2956</v>
      </c>
      <c r="D447" s="245" t="s">
        <v>3072</v>
      </c>
      <c r="E447" s="244" t="s">
        <v>1082</v>
      </c>
      <c r="F447" s="246">
        <v>23</v>
      </c>
      <c r="G447" s="246">
        <v>195.08</v>
      </c>
      <c r="H447" s="246">
        <v>243.71</v>
      </c>
      <c r="I447" s="246">
        <f t="shared" si="11"/>
        <v>5605.33</v>
      </c>
      <c r="J447" s="131"/>
      <c r="K447" s="131"/>
      <c r="L447" s="131"/>
    </row>
    <row r="448" spans="1:12" ht="33.75" x14ac:dyDescent="0.25">
      <c r="A448" s="244" t="s">
        <v>3070</v>
      </c>
      <c r="B448" s="244" t="s">
        <v>3074</v>
      </c>
      <c r="C448" s="244" t="s">
        <v>2882</v>
      </c>
      <c r="D448" s="245" t="s">
        <v>3075</v>
      </c>
      <c r="E448" s="244" t="s">
        <v>1082</v>
      </c>
      <c r="F448" s="246">
        <v>18</v>
      </c>
      <c r="G448" s="246">
        <v>313.45999999999998</v>
      </c>
      <c r="H448" s="246">
        <v>391.61</v>
      </c>
      <c r="I448" s="246">
        <f t="shared" si="11"/>
        <v>7048.98</v>
      </c>
      <c r="J448" s="131"/>
      <c r="K448" s="131"/>
      <c r="L448" s="131"/>
    </row>
    <row r="449" spans="1:12" x14ac:dyDescent="0.25">
      <c r="A449" s="244" t="s">
        <v>3073</v>
      </c>
      <c r="B449" s="244" t="s">
        <v>1339</v>
      </c>
      <c r="C449" s="244" t="s">
        <v>2956</v>
      </c>
      <c r="D449" s="245" t="s">
        <v>3079</v>
      </c>
      <c r="E449" s="244" t="s">
        <v>1082</v>
      </c>
      <c r="F449" s="246">
        <v>25</v>
      </c>
      <c r="G449" s="246">
        <v>87.71</v>
      </c>
      <c r="H449" s="246">
        <v>109.58</v>
      </c>
      <c r="I449" s="246">
        <f t="shared" si="11"/>
        <v>2739.5</v>
      </c>
      <c r="J449" s="131"/>
      <c r="K449" s="131"/>
      <c r="L449" s="131"/>
    </row>
    <row r="450" spans="1:12" ht="33.75" x14ac:dyDescent="0.25">
      <c r="A450" s="244" t="s">
        <v>3076</v>
      </c>
      <c r="B450" s="244" t="s">
        <v>1204</v>
      </c>
      <c r="C450" s="244" t="s">
        <v>2882</v>
      </c>
      <c r="D450" s="245" t="s">
        <v>3081</v>
      </c>
      <c r="E450" s="244" t="s">
        <v>1082</v>
      </c>
      <c r="F450" s="246">
        <v>25</v>
      </c>
      <c r="G450" s="246">
        <v>184.57</v>
      </c>
      <c r="H450" s="246">
        <v>230.58</v>
      </c>
      <c r="I450" s="246">
        <f t="shared" si="11"/>
        <v>5764.5</v>
      </c>
      <c r="J450" s="131"/>
      <c r="K450" s="131"/>
      <c r="L450" s="131"/>
    </row>
    <row r="451" spans="1:12" x14ac:dyDescent="0.25">
      <c r="A451" s="244" t="s">
        <v>3078</v>
      </c>
      <c r="B451" s="244" t="s">
        <v>1255</v>
      </c>
      <c r="C451" s="244" t="s">
        <v>2956</v>
      </c>
      <c r="D451" s="245" t="s">
        <v>3083</v>
      </c>
      <c r="E451" s="244" t="s">
        <v>1082</v>
      </c>
      <c r="F451" s="246">
        <v>28</v>
      </c>
      <c r="G451" s="246">
        <v>58.28</v>
      </c>
      <c r="H451" s="246">
        <v>72.81</v>
      </c>
      <c r="I451" s="246">
        <f t="shared" si="11"/>
        <v>2038.68</v>
      </c>
      <c r="J451" s="131"/>
      <c r="K451" s="131"/>
      <c r="L451" s="131"/>
    </row>
    <row r="452" spans="1:12" ht="22.5" x14ac:dyDescent="0.25">
      <c r="A452" s="244" t="s">
        <v>3080</v>
      </c>
      <c r="B452" s="244" t="s">
        <v>3085</v>
      </c>
      <c r="C452" s="244" t="s">
        <v>2956</v>
      </c>
      <c r="D452" s="245" t="s">
        <v>3086</v>
      </c>
      <c r="E452" s="244" t="s">
        <v>1082</v>
      </c>
      <c r="F452" s="246">
        <v>4</v>
      </c>
      <c r="G452" s="246">
        <v>762.68</v>
      </c>
      <c r="H452" s="246">
        <v>952.82</v>
      </c>
      <c r="I452" s="246">
        <f t="shared" si="11"/>
        <v>3811.28</v>
      </c>
      <c r="J452" s="131"/>
      <c r="K452" s="131"/>
      <c r="L452" s="131"/>
    </row>
    <row r="453" spans="1:12" x14ac:dyDescent="0.25">
      <c r="A453" s="244" t="s">
        <v>3082</v>
      </c>
      <c r="B453" s="244" t="s">
        <v>1258</v>
      </c>
      <c r="C453" s="244" t="s">
        <v>2956</v>
      </c>
      <c r="D453" s="245" t="s">
        <v>3088</v>
      </c>
      <c r="E453" s="244" t="s">
        <v>1082</v>
      </c>
      <c r="F453" s="246">
        <v>3</v>
      </c>
      <c r="G453" s="246">
        <v>182.59</v>
      </c>
      <c r="H453" s="246">
        <v>228.11</v>
      </c>
      <c r="I453" s="246">
        <f t="shared" si="11"/>
        <v>684.33</v>
      </c>
      <c r="J453" s="131"/>
      <c r="K453" s="131"/>
      <c r="L453" s="131"/>
    </row>
    <row r="454" spans="1:12" ht="45" x14ac:dyDescent="0.25">
      <c r="A454" s="244" t="s">
        <v>3084</v>
      </c>
      <c r="B454" s="244" t="s">
        <v>3090</v>
      </c>
      <c r="C454" s="244" t="s">
        <v>2882</v>
      </c>
      <c r="D454" s="245" t="s">
        <v>3091</v>
      </c>
      <c r="E454" s="244" t="s">
        <v>1082</v>
      </c>
      <c r="F454" s="246">
        <v>98</v>
      </c>
      <c r="G454" s="246">
        <v>399.47</v>
      </c>
      <c r="H454" s="246">
        <v>499.06</v>
      </c>
      <c r="I454" s="246">
        <f t="shared" si="11"/>
        <v>48907.88</v>
      </c>
      <c r="J454" s="131"/>
      <c r="K454" s="131"/>
      <c r="L454" s="131"/>
    </row>
    <row r="455" spans="1:12" x14ac:dyDescent="0.25">
      <c r="A455" s="244" t="s">
        <v>3087</v>
      </c>
      <c r="B455" s="244" t="s">
        <v>3093</v>
      </c>
      <c r="C455" s="244" t="s">
        <v>2956</v>
      </c>
      <c r="D455" s="245" t="s">
        <v>3094</v>
      </c>
      <c r="E455" s="244" t="s">
        <v>1082</v>
      </c>
      <c r="F455" s="246">
        <v>11</v>
      </c>
      <c r="G455" s="246">
        <v>697.79</v>
      </c>
      <c r="H455" s="246">
        <v>871.75</v>
      </c>
      <c r="I455" s="246">
        <f t="shared" si="11"/>
        <v>9589.25</v>
      </c>
      <c r="J455" s="131"/>
      <c r="K455" s="131"/>
      <c r="L455" s="131"/>
    </row>
    <row r="456" spans="1:12" ht="33.75" x14ac:dyDescent="0.25">
      <c r="A456" s="244" t="s">
        <v>3089</v>
      </c>
      <c r="B456" s="244" t="s">
        <v>3096</v>
      </c>
      <c r="C456" s="244" t="s">
        <v>2882</v>
      </c>
      <c r="D456" s="245" t="s">
        <v>3097</v>
      </c>
      <c r="E456" s="244" t="s">
        <v>1082</v>
      </c>
      <c r="F456" s="246">
        <v>3</v>
      </c>
      <c r="G456" s="246">
        <v>509.25</v>
      </c>
      <c r="H456" s="246">
        <v>636.21</v>
      </c>
      <c r="I456" s="246">
        <f t="shared" si="11"/>
        <v>1908.63</v>
      </c>
      <c r="J456" s="131"/>
      <c r="K456" s="131"/>
      <c r="L456" s="131"/>
    </row>
    <row r="457" spans="1:12" ht="22.5" x14ac:dyDescent="0.25">
      <c r="A457" s="244" t="s">
        <v>3092</v>
      </c>
      <c r="B457" s="244" t="s">
        <v>3099</v>
      </c>
      <c r="C457" s="244" t="s">
        <v>2882</v>
      </c>
      <c r="D457" s="245" t="s">
        <v>3100</v>
      </c>
      <c r="E457" s="244" t="s">
        <v>1082</v>
      </c>
      <c r="F457" s="246">
        <v>11</v>
      </c>
      <c r="G457" s="246">
        <v>65.760000000000005</v>
      </c>
      <c r="H457" s="246">
        <v>82.15</v>
      </c>
      <c r="I457" s="246">
        <f t="shared" si="11"/>
        <v>903.65</v>
      </c>
      <c r="J457" s="131"/>
      <c r="K457" s="131"/>
      <c r="L457" s="131"/>
    </row>
    <row r="458" spans="1:12" x14ac:dyDescent="0.25">
      <c r="A458" s="660" t="s">
        <v>2945</v>
      </c>
      <c r="B458" s="660"/>
      <c r="C458" s="660"/>
      <c r="D458" s="250" t="s">
        <v>3259</v>
      </c>
      <c r="E458" s="660"/>
      <c r="F458" s="260"/>
      <c r="G458" s="260"/>
      <c r="H458" s="260"/>
      <c r="I458" s="260"/>
      <c r="J458" s="131"/>
      <c r="K458" s="131"/>
      <c r="L458" s="131"/>
    </row>
    <row r="459" spans="1:12" x14ac:dyDescent="0.25">
      <c r="A459" s="252" t="s">
        <v>2947</v>
      </c>
      <c r="B459" s="252"/>
      <c r="C459" s="252"/>
      <c r="D459" s="253" t="s">
        <v>2948</v>
      </c>
      <c r="E459" s="252"/>
      <c r="F459" s="254"/>
      <c r="G459" s="255"/>
      <c r="H459" s="255"/>
      <c r="I459" s="255">
        <f>SUM(I460:I466)</f>
        <v>30387.93</v>
      </c>
      <c r="J459" s="131"/>
      <c r="K459" s="131"/>
      <c r="L459" s="131"/>
    </row>
    <row r="460" spans="1:12" ht="22.5" x14ac:dyDescent="0.25">
      <c r="A460" s="244" t="s">
        <v>2949</v>
      </c>
      <c r="B460" s="244" t="s">
        <v>1162</v>
      </c>
      <c r="C460" s="244" t="s">
        <v>2882</v>
      </c>
      <c r="D460" s="245" t="s">
        <v>2950</v>
      </c>
      <c r="E460" s="244" t="s">
        <v>473</v>
      </c>
      <c r="F460" s="246">
        <v>348</v>
      </c>
      <c r="G460" s="246">
        <v>11.78</v>
      </c>
      <c r="H460" s="246">
        <v>14.72</v>
      </c>
      <c r="I460" s="246">
        <f>ROUND(F460*H460,2)</f>
        <v>5122.5600000000004</v>
      </c>
      <c r="J460" s="131"/>
      <c r="K460" s="131"/>
      <c r="L460" s="131"/>
    </row>
    <row r="461" spans="1:12" ht="22.5" x14ac:dyDescent="0.25">
      <c r="A461" s="244" t="s">
        <v>2951</v>
      </c>
      <c r="B461" s="244" t="s">
        <v>1177</v>
      </c>
      <c r="C461" s="244" t="s">
        <v>2882</v>
      </c>
      <c r="D461" s="245" t="s">
        <v>2952</v>
      </c>
      <c r="E461" s="244" t="s">
        <v>473</v>
      </c>
      <c r="F461" s="246">
        <v>168.42</v>
      </c>
      <c r="G461" s="246">
        <v>9.17</v>
      </c>
      <c r="H461" s="246">
        <v>11.46</v>
      </c>
      <c r="I461" s="246">
        <f t="shared" ref="I461:I524" si="12">ROUND(F461*H461,2)</f>
        <v>1930.09</v>
      </c>
      <c r="J461" s="131"/>
      <c r="K461" s="131"/>
      <c r="L461" s="131"/>
    </row>
    <row r="462" spans="1:12" ht="22.5" x14ac:dyDescent="0.25">
      <c r="A462" s="244" t="s">
        <v>2953</v>
      </c>
      <c r="B462" s="244" t="s">
        <v>1180</v>
      </c>
      <c r="C462" s="244" t="s">
        <v>2882</v>
      </c>
      <c r="D462" s="245" t="s">
        <v>2954</v>
      </c>
      <c r="E462" s="244" t="s">
        <v>473</v>
      </c>
      <c r="F462" s="246">
        <v>95.71</v>
      </c>
      <c r="G462" s="246">
        <v>14</v>
      </c>
      <c r="H462" s="246">
        <v>17.489999999999998</v>
      </c>
      <c r="I462" s="246">
        <f t="shared" si="12"/>
        <v>1673.97</v>
      </c>
      <c r="J462" s="131"/>
      <c r="K462" s="131"/>
      <c r="L462" s="131"/>
    </row>
    <row r="463" spans="1:12" ht="22.5" x14ac:dyDescent="0.25">
      <c r="A463" s="244" t="s">
        <v>2955</v>
      </c>
      <c r="B463" s="244" t="s">
        <v>1183</v>
      </c>
      <c r="C463" s="244" t="s">
        <v>2882</v>
      </c>
      <c r="D463" s="245" t="s">
        <v>3102</v>
      </c>
      <c r="E463" s="244" t="s">
        <v>473</v>
      </c>
      <c r="F463" s="246">
        <v>126.09</v>
      </c>
      <c r="G463" s="246">
        <v>19.489999999999998</v>
      </c>
      <c r="H463" s="246">
        <v>24.35</v>
      </c>
      <c r="I463" s="246">
        <f t="shared" si="12"/>
        <v>3070.29</v>
      </c>
      <c r="J463" s="131"/>
      <c r="K463" s="131"/>
      <c r="L463" s="131"/>
    </row>
    <row r="464" spans="1:12" x14ac:dyDescent="0.25">
      <c r="A464" s="244" t="s">
        <v>2958</v>
      </c>
      <c r="B464" s="244" t="s">
        <v>1324</v>
      </c>
      <c r="C464" s="244" t="s">
        <v>2956</v>
      </c>
      <c r="D464" s="245" t="s">
        <v>2957</v>
      </c>
      <c r="E464" s="244" t="s">
        <v>473</v>
      </c>
      <c r="F464" s="246">
        <v>59.71</v>
      </c>
      <c r="G464" s="246">
        <v>55.4</v>
      </c>
      <c r="H464" s="246">
        <v>69.209999999999994</v>
      </c>
      <c r="I464" s="246">
        <f t="shared" si="12"/>
        <v>4132.53</v>
      </c>
      <c r="J464" s="131"/>
      <c r="K464" s="131"/>
      <c r="L464" s="131"/>
    </row>
    <row r="465" spans="1:12" ht="22.5" x14ac:dyDescent="0.25">
      <c r="A465" s="244" t="s">
        <v>2960</v>
      </c>
      <c r="B465" s="244" t="s">
        <v>1213</v>
      </c>
      <c r="C465" s="244" t="s">
        <v>2882</v>
      </c>
      <c r="D465" s="245" t="s">
        <v>2959</v>
      </c>
      <c r="E465" s="244" t="s">
        <v>473</v>
      </c>
      <c r="F465" s="246">
        <v>797.93</v>
      </c>
      <c r="G465" s="246">
        <v>7.23</v>
      </c>
      <c r="H465" s="246">
        <v>9.0299999999999994</v>
      </c>
      <c r="I465" s="246">
        <f t="shared" si="12"/>
        <v>7205.31</v>
      </c>
      <c r="J465" s="131"/>
      <c r="K465" s="131"/>
      <c r="L465" s="131"/>
    </row>
    <row r="466" spans="1:12" ht="22.5" x14ac:dyDescent="0.25">
      <c r="A466" s="244" t="s">
        <v>3239</v>
      </c>
      <c r="B466" s="244" t="s">
        <v>1216</v>
      </c>
      <c r="C466" s="244" t="s">
        <v>2882</v>
      </c>
      <c r="D466" s="245" t="s">
        <v>2961</v>
      </c>
      <c r="E466" s="244" t="s">
        <v>473</v>
      </c>
      <c r="F466" s="246">
        <v>797.93</v>
      </c>
      <c r="G466" s="246">
        <v>7.28</v>
      </c>
      <c r="H466" s="246">
        <v>9.09</v>
      </c>
      <c r="I466" s="246">
        <f t="shared" si="12"/>
        <v>7253.18</v>
      </c>
      <c r="J466" s="131"/>
      <c r="K466" s="131"/>
      <c r="L466" s="131"/>
    </row>
    <row r="467" spans="1:12" x14ac:dyDescent="0.25">
      <c r="A467" s="252" t="s">
        <v>2962</v>
      </c>
      <c r="B467" s="252"/>
      <c r="C467" s="252"/>
      <c r="D467" s="253" t="s">
        <v>2963</v>
      </c>
      <c r="E467" s="252"/>
      <c r="F467" s="255"/>
      <c r="G467" s="255"/>
      <c r="H467" s="255"/>
      <c r="I467" s="255">
        <f>SUM(I468:I491)</f>
        <v>22450.480000000003</v>
      </c>
      <c r="J467" s="131"/>
      <c r="K467" s="131"/>
      <c r="L467" s="131"/>
    </row>
    <row r="468" spans="1:12" x14ac:dyDescent="0.25">
      <c r="A468" s="244" t="s">
        <v>2964</v>
      </c>
      <c r="B468" s="244" t="s">
        <v>1243</v>
      </c>
      <c r="C468" s="244" t="s">
        <v>2956</v>
      </c>
      <c r="D468" s="245" t="s">
        <v>2965</v>
      </c>
      <c r="E468" s="244" t="s">
        <v>1082</v>
      </c>
      <c r="F468" s="246">
        <v>32</v>
      </c>
      <c r="G468" s="246">
        <v>7.54</v>
      </c>
      <c r="H468" s="246">
        <v>9.42</v>
      </c>
      <c r="I468" s="246">
        <f t="shared" si="12"/>
        <v>301.44</v>
      </c>
      <c r="J468" s="131"/>
      <c r="K468" s="131"/>
      <c r="L468" s="131"/>
    </row>
    <row r="469" spans="1:12" x14ac:dyDescent="0.25">
      <c r="A469" s="244" t="s">
        <v>2966</v>
      </c>
      <c r="B469" s="244" t="s">
        <v>1246</v>
      </c>
      <c r="C469" s="244" t="s">
        <v>2956</v>
      </c>
      <c r="D469" s="245" t="s">
        <v>3257</v>
      </c>
      <c r="E469" s="244" t="s">
        <v>1082</v>
      </c>
      <c r="F469" s="246">
        <v>7</v>
      </c>
      <c r="G469" s="246">
        <v>24.4</v>
      </c>
      <c r="H469" s="246">
        <v>30.48</v>
      </c>
      <c r="I469" s="246">
        <f t="shared" si="12"/>
        <v>213.36</v>
      </c>
      <c r="J469" s="131"/>
      <c r="K469" s="131"/>
      <c r="L469" s="131"/>
    </row>
    <row r="470" spans="1:12" x14ac:dyDescent="0.25">
      <c r="A470" s="244" t="s">
        <v>2968</v>
      </c>
      <c r="B470" s="244" t="s">
        <v>1360</v>
      </c>
      <c r="C470" s="244" t="s">
        <v>504</v>
      </c>
      <c r="D470" s="245" t="s">
        <v>3010</v>
      </c>
      <c r="E470" s="244" t="s">
        <v>1082</v>
      </c>
      <c r="F470" s="246">
        <v>25</v>
      </c>
      <c r="G470" s="246">
        <v>31.74</v>
      </c>
      <c r="H470" s="246">
        <v>39.65</v>
      </c>
      <c r="I470" s="246">
        <f t="shared" si="12"/>
        <v>991.25</v>
      </c>
      <c r="J470" s="131"/>
      <c r="K470" s="131"/>
      <c r="L470" s="131"/>
    </row>
    <row r="471" spans="1:12" x14ac:dyDescent="0.25">
      <c r="A471" s="244" t="s">
        <v>2970</v>
      </c>
      <c r="B471" s="244" t="s">
        <v>1363</v>
      </c>
      <c r="C471" s="244" t="s">
        <v>504</v>
      </c>
      <c r="D471" s="245" t="s">
        <v>3012</v>
      </c>
      <c r="E471" s="244" t="s">
        <v>1082</v>
      </c>
      <c r="F471" s="246">
        <v>2</v>
      </c>
      <c r="G471" s="246">
        <v>34.119999999999997</v>
      </c>
      <c r="H471" s="246">
        <v>42.63</v>
      </c>
      <c r="I471" s="246">
        <f t="shared" si="12"/>
        <v>85.26</v>
      </c>
      <c r="J471" s="131"/>
      <c r="K471" s="131"/>
      <c r="L471" s="131"/>
    </row>
    <row r="472" spans="1:12" x14ac:dyDescent="0.25">
      <c r="A472" s="244" t="s">
        <v>2972</v>
      </c>
      <c r="B472" s="244" t="s">
        <v>1381</v>
      </c>
      <c r="C472" s="244" t="s">
        <v>504</v>
      </c>
      <c r="D472" s="245" t="s">
        <v>3260</v>
      </c>
      <c r="E472" s="244" t="s">
        <v>1082</v>
      </c>
      <c r="F472" s="246">
        <v>5</v>
      </c>
      <c r="G472" s="246">
        <v>13.19</v>
      </c>
      <c r="H472" s="246">
        <v>16.48</v>
      </c>
      <c r="I472" s="246">
        <f t="shared" si="12"/>
        <v>82.4</v>
      </c>
      <c r="J472" s="131"/>
      <c r="K472" s="131"/>
      <c r="L472" s="131"/>
    </row>
    <row r="473" spans="1:12" x14ac:dyDescent="0.25">
      <c r="A473" s="244" t="s">
        <v>2974</v>
      </c>
      <c r="B473" s="244" t="s">
        <v>1384</v>
      </c>
      <c r="C473" s="244" t="s">
        <v>504</v>
      </c>
      <c r="D473" s="245" t="s">
        <v>3261</v>
      </c>
      <c r="E473" s="244" t="s">
        <v>1082</v>
      </c>
      <c r="F473" s="246">
        <v>1</v>
      </c>
      <c r="G473" s="246">
        <v>22.74</v>
      </c>
      <c r="H473" s="246">
        <v>28.41</v>
      </c>
      <c r="I473" s="246">
        <f t="shared" si="12"/>
        <v>28.41</v>
      </c>
      <c r="J473" s="131"/>
      <c r="K473" s="131"/>
      <c r="L473" s="131"/>
    </row>
    <row r="474" spans="1:12" ht="22.5" x14ac:dyDescent="0.25">
      <c r="A474" s="244" t="s">
        <v>2976</v>
      </c>
      <c r="B474" s="244" t="s">
        <v>1192</v>
      </c>
      <c r="C474" s="244" t="s">
        <v>2882</v>
      </c>
      <c r="D474" s="245" t="s">
        <v>2973</v>
      </c>
      <c r="E474" s="244" t="s">
        <v>1082</v>
      </c>
      <c r="F474" s="246">
        <v>2</v>
      </c>
      <c r="G474" s="246">
        <v>8.2100000000000009</v>
      </c>
      <c r="H474" s="246">
        <v>10.26</v>
      </c>
      <c r="I474" s="246">
        <f t="shared" si="12"/>
        <v>20.52</v>
      </c>
      <c r="J474" s="131"/>
      <c r="K474" s="131"/>
      <c r="L474" s="131"/>
    </row>
    <row r="475" spans="1:12" ht="22.5" x14ac:dyDescent="0.25">
      <c r="A475" s="244" t="s">
        <v>2978</v>
      </c>
      <c r="B475" s="244" t="s">
        <v>1165</v>
      </c>
      <c r="C475" s="244" t="s">
        <v>2882</v>
      </c>
      <c r="D475" s="245" t="s">
        <v>2975</v>
      </c>
      <c r="E475" s="244" t="s">
        <v>1082</v>
      </c>
      <c r="F475" s="246">
        <v>173</v>
      </c>
      <c r="G475" s="246">
        <v>4.88</v>
      </c>
      <c r="H475" s="246">
        <v>6.1</v>
      </c>
      <c r="I475" s="246">
        <f t="shared" si="12"/>
        <v>1055.3</v>
      </c>
      <c r="J475" s="131"/>
      <c r="K475" s="131"/>
      <c r="L475" s="131"/>
    </row>
    <row r="476" spans="1:12" ht="22.5" x14ac:dyDescent="0.25">
      <c r="A476" s="244" t="s">
        <v>2980</v>
      </c>
      <c r="B476" s="244" t="s">
        <v>1189</v>
      </c>
      <c r="C476" s="244" t="s">
        <v>2882</v>
      </c>
      <c r="D476" s="245" t="s">
        <v>2977</v>
      </c>
      <c r="E476" s="244" t="s">
        <v>1082</v>
      </c>
      <c r="F476" s="246">
        <v>24</v>
      </c>
      <c r="G476" s="246">
        <v>7.18</v>
      </c>
      <c r="H476" s="246">
        <v>8.9700000000000006</v>
      </c>
      <c r="I476" s="246">
        <f t="shared" si="12"/>
        <v>215.28</v>
      </c>
      <c r="J476" s="131"/>
      <c r="K476" s="131"/>
      <c r="L476" s="131"/>
    </row>
    <row r="477" spans="1:12" ht="22.5" x14ac:dyDescent="0.25">
      <c r="A477" s="244" t="s">
        <v>2982</v>
      </c>
      <c r="B477" s="244" t="s">
        <v>1195</v>
      </c>
      <c r="C477" s="244" t="s">
        <v>2882</v>
      </c>
      <c r="D477" s="245" t="s">
        <v>2979</v>
      </c>
      <c r="E477" s="244" t="s">
        <v>1082</v>
      </c>
      <c r="F477" s="246">
        <v>12</v>
      </c>
      <c r="G477" s="246">
        <v>19.350000000000001</v>
      </c>
      <c r="H477" s="246">
        <v>24.17</v>
      </c>
      <c r="I477" s="246">
        <f t="shared" si="12"/>
        <v>290.04000000000002</v>
      </c>
      <c r="J477" s="131"/>
      <c r="K477" s="131"/>
      <c r="L477" s="131"/>
    </row>
    <row r="478" spans="1:12" ht="22.5" x14ac:dyDescent="0.25">
      <c r="A478" s="244" t="s">
        <v>2984</v>
      </c>
      <c r="B478" s="244" t="s">
        <v>1168</v>
      </c>
      <c r="C478" s="244" t="s">
        <v>2882</v>
      </c>
      <c r="D478" s="245" t="s">
        <v>2981</v>
      </c>
      <c r="E478" s="244" t="s">
        <v>1082</v>
      </c>
      <c r="F478" s="246">
        <v>84</v>
      </c>
      <c r="G478" s="246">
        <v>8.65</v>
      </c>
      <c r="H478" s="246">
        <v>10.81</v>
      </c>
      <c r="I478" s="246">
        <f t="shared" si="12"/>
        <v>908.04</v>
      </c>
      <c r="J478" s="131"/>
      <c r="K478" s="131"/>
      <c r="L478" s="131"/>
    </row>
    <row r="479" spans="1:12" ht="22.5" x14ac:dyDescent="0.25">
      <c r="A479" s="244" t="s">
        <v>2986</v>
      </c>
      <c r="B479" s="244" t="s">
        <v>1198</v>
      </c>
      <c r="C479" s="244" t="s">
        <v>2882</v>
      </c>
      <c r="D479" s="245" t="s">
        <v>3258</v>
      </c>
      <c r="E479" s="244" t="s">
        <v>1082</v>
      </c>
      <c r="F479" s="246">
        <v>1</v>
      </c>
      <c r="G479" s="246">
        <v>52.69</v>
      </c>
      <c r="H479" s="246">
        <v>65.83</v>
      </c>
      <c r="I479" s="246">
        <f t="shared" si="12"/>
        <v>65.83</v>
      </c>
      <c r="J479" s="131"/>
      <c r="K479" s="131"/>
      <c r="L479" s="131"/>
    </row>
    <row r="480" spans="1:12" x14ac:dyDescent="0.25">
      <c r="A480" s="244" t="s">
        <v>2989</v>
      </c>
      <c r="B480" s="244" t="s">
        <v>1264</v>
      </c>
      <c r="C480" s="244" t="s">
        <v>2956</v>
      </c>
      <c r="D480" s="245" t="s">
        <v>3262</v>
      </c>
      <c r="E480" s="244" t="s">
        <v>1082</v>
      </c>
      <c r="F480" s="246">
        <v>1</v>
      </c>
      <c r="G480" s="246">
        <v>121.83</v>
      </c>
      <c r="H480" s="246">
        <v>152.19999999999999</v>
      </c>
      <c r="I480" s="246">
        <f t="shared" si="12"/>
        <v>152.19999999999999</v>
      </c>
      <c r="J480" s="131"/>
      <c r="K480" s="131"/>
      <c r="L480" s="131"/>
    </row>
    <row r="481" spans="1:12" x14ac:dyDescent="0.25">
      <c r="A481" s="244" t="s">
        <v>2991</v>
      </c>
      <c r="B481" s="244" t="s">
        <v>2987</v>
      </c>
      <c r="C481" s="244" t="s">
        <v>2882</v>
      </c>
      <c r="D481" s="245" t="s">
        <v>2988</v>
      </c>
      <c r="E481" s="244" t="s">
        <v>1082</v>
      </c>
      <c r="F481" s="246">
        <v>55</v>
      </c>
      <c r="G481" s="246">
        <v>72.569999999999993</v>
      </c>
      <c r="H481" s="246">
        <v>90.66</v>
      </c>
      <c r="I481" s="246">
        <f t="shared" si="12"/>
        <v>4986.3</v>
      </c>
      <c r="J481" s="131"/>
      <c r="K481" s="131"/>
      <c r="L481" s="131"/>
    </row>
    <row r="482" spans="1:12" ht="22.5" x14ac:dyDescent="0.25">
      <c r="A482" s="244" t="s">
        <v>2993</v>
      </c>
      <c r="B482" s="244" t="s">
        <v>1207</v>
      </c>
      <c r="C482" s="244" t="s">
        <v>2882</v>
      </c>
      <c r="D482" s="245" t="s">
        <v>3008</v>
      </c>
      <c r="E482" s="244" t="s">
        <v>1082</v>
      </c>
      <c r="F482" s="246">
        <v>58</v>
      </c>
      <c r="G482" s="246">
        <v>48.35</v>
      </c>
      <c r="H482" s="246">
        <v>60.4</v>
      </c>
      <c r="I482" s="246">
        <f t="shared" si="12"/>
        <v>3503.2</v>
      </c>
      <c r="J482" s="131"/>
      <c r="K482" s="131"/>
      <c r="L482" s="131"/>
    </row>
    <row r="483" spans="1:12" ht="22.5" x14ac:dyDescent="0.25">
      <c r="A483" s="244" t="s">
        <v>2995</v>
      </c>
      <c r="B483" s="244" t="s">
        <v>1372</v>
      </c>
      <c r="C483" s="244" t="s">
        <v>504</v>
      </c>
      <c r="D483" s="245" t="s">
        <v>2992</v>
      </c>
      <c r="E483" s="244" t="s">
        <v>1082</v>
      </c>
      <c r="F483" s="246">
        <v>71</v>
      </c>
      <c r="G483" s="246">
        <v>13.43</v>
      </c>
      <c r="H483" s="246">
        <v>16.78</v>
      </c>
      <c r="I483" s="246">
        <f t="shared" si="12"/>
        <v>1191.3800000000001</v>
      </c>
      <c r="J483" s="131"/>
      <c r="K483" s="131"/>
      <c r="L483" s="131"/>
    </row>
    <row r="484" spans="1:12" x14ac:dyDescent="0.25">
      <c r="A484" s="244" t="s">
        <v>2997</v>
      </c>
      <c r="B484" s="244" t="s">
        <v>1294</v>
      </c>
      <c r="C484" s="244" t="s">
        <v>2956</v>
      </c>
      <c r="D484" s="245" t="s">
        <v>3263</v>
      </c>
      <c r="E484" s="244" t="s">
        <v>1082</v>
      </c>
      <c r="F484" s="246">
        <v>30</v>
      </c>
      <c r="G484" s="246">
        <v>14.53</v>
      </c>
      <c r="H484" s="246">
        <v>18.149999999999999</v>
      </c>
      <c r="I484" s="246">
        <f t="shared" si="12"/>
        <v>544.5</v>
      </c>
      <c r="J484" s="131"/>
      <c r="K484" s="131"/>
      <c r="L484" s="131"/>
    </row>
    <row r="485" spans="1:12" x14ac:dyDescent="0.25">
      <c r="A485" s="244" t="s">
        <v>3106</v>
      </c>
      <c r="B485" s="244" t="s">
        <v>1297</v>
      </c>
      <c r="C485" s="244" t="s">
        <v>2956</v>
      </c>
      <c r="D485" s="245" t="s">
        <v>3264</v>
      </c>
      <c r="E485" s="244" t="s">
        <v>1082</v>
      </c>
      <c r="F485" s="246">
        <v>13</v>
      </c>
      <c r="G485" s="246">
        <v>28.96</v>
      </c>
      <c r="H485" s="246">
        <v>36.18</v>
      </c>
      <c r="I485" s="246">
        <f t="shared" si="12"/>
        <v>470.34</v>
      </c>
      <c r="J485" s="131"/>
      <c r="K485" s="131"/>
      <c r="L485" s="131"/>
    </row>
    <row r="486" spans="1:12" x14ac:dyDescent="0.25">
      <c r="A486" s="244" t="s">
        <v>2999</v>
      </c>
      <c r="B486" s="244" t="s">
        <v>1291</v>
      </c>
      <c r="C486" s="244" t="s">
        <v>2956</v>
      </c>
      <c r="D486" s="245" t="s">
        <v>2998</v>
      </c>
      <c r="E486" s="244" t="s">
        <v>1082</v>
      </c>
      <c r="F486" s="246">
        <v>33</v>
      </c>
      <c r="G486" s="246">
        <v>5.99</v>
      </c>
      <c r="H486" s="246">
        <v>7.48</v>
      </c>
      <c r="I486" s="246">
        <f t="shared" si="12"/>
        <v>246.84</v>
      </c>
      <c r="J486" s="131"/>
      <c r="K486" s="131"/>
      <c r="L486" s="131"/>
    </row>
    <row r="487" spans="1:12" x14ac:dyDescent="0.25">
      <c r="A487" s="244" t="s">
        <v>3001</v>
      </c>
      <c r="B487" s="244" t="s">
        <v>1387</v>
      </c>
      <c r="C487" s="244" t="s">
        <v>504</v>
      </c>
      <c r="D487" s="245" t="s">
        <v>3265</v>
      </c>
      <c r="E487" s="244" t="s">
        <v>1082</v>
      </c>
      <c r="F487" s="246">
        <v>3</v>
      </c>
      <c r="G487" s="246">
        <v>97.92</v>
      </c>
      <c r="H487" s="246">
        <v>122.33</v>
      </c>
      <c r="I487" s="246">
        <f t="shared" si="12"/>
        <v>366.99</v>
      </c>
      <c r="J487" s="131"/>
      <c r="K487" s="131"/>
      <c r="L487" s="131"/>
    </row>
    <row r="488" spans="1:12" x14ac:dyDescent="0.25">
      <c r="A488" s="244" t="s">
        <v>3003</v>
      </c>
      <c r="B488" s="244" t="s">
        <v>1393</v>
      </c>
      <c r="C488" s="244" t="s">
        <v>504</v>
      </c>
      <c r="D488" s="245" t="s">
        <v>3266</v>
      </c>
      <c r="E488" s="244" t="s">
        <v>1082</v>
      </c>
      <c r="F488" s="246">
        <v>11</v>
      </c>
      <c r="G488" s="246">
        <v>60.21</v>
      </c>
      <c r="H488" s="246">
        <v>75.22</v>
      </c>
      <c r="I488" s="246">
        <f t="shared" si="12"/>
        <v>827.42</v>
      </c>
      <c r="J488" s="131"/>
      <c r="K488" s="131"/>
      <c r="L488" s="131"/>
    </row>
    <row r="489" spans="1:12" x14ac:dyDescent="0.25">
      <c r="A489" s="244" t="s">
        <v>3005</v>
      </c>
      <c r="B489" s="244" t="s">
        <v>1390</v>
      </c>
      <c r="C489" s="244" t="s">
        <v>504</v>
      </c>
      <c r="D489" s="245" t="s">
        <v>3267</v>
      </c>
      <c r="E489" s="244" t="s">
        <v>1082</v>
      </c>
      <c r="F489" s="246">
        <v>6</v>
      </c>
      <c r="G489" s="246">
        <v>37.29</v>
      </c>
      <c r="H489" s="246">
        <v>46.59</v>
      </c>
      <c r="I489" s="246">
        <f t="shared" si="12"/>
        <v>279.54000000000002</v>
      </c>
      <c r="J489" s="131"/>
      <c r="K489" s="131"/>
      <c r="L489" s="131"/>
    </row>
    <row r="490" spans="1:12" ht="22.5" x14ac:dyDescent="0.25">
      <c r="A490" s="244" t="s">
        <v>3007</v>
      </c>
      <c r="B490" s="244" t="s">
        <v>1201</v>
      </c>
      <c r="C490" s="244" t="s">
        <v>2882</v>
      </c>
      <c r="D490" s="245" t="s">
        <v>3000</v>
      </c>
      <c r="E490" s="244" t="s">
        <v>1082</v>
      </c>
      <c r="F490" s="246">
        <v>12</v>
      </c>
      <c r="G490" s="246">
        <v>12.04</v>
      </c>
      <c r="H490" s="246">
        <v>15.04</v>
      </c>
      <c r="I490" s="246">
        <f t="shared" si="12"/>
        <v>180.48</v>
      </c>
      <c r="J490" s="131"/>
      <c r="K490" s="131"/>
      <c r="L490" s="131"/>
    </row>
    <row r="491" spans="1:12" x14ac:dyDescent="0.25">
      <c r="A491" s="244" t="s">
        <v>3009</v>
      </c>
      <c r="B491" s="244" t="s">
        <v>1327</v>
      </c>
      <c r="C491" s="244" t="s">
        <v>2956</v>
      </c>
      <c r="D491" s="245" t="s">
        <v>3002</v>
      </c>
      <c r="E491" s="244" t="s">
        <v>1082</v>
      </c>
      <c r="F491" s="246">
        <v>32</v>
      </c>
      <c r="G491" s="246">
        <v>136.18</v>
      </c>
      <c r="H491" s="246">
        <v>170.13</v>
      </c>
      <c r="I491" s="246">
        <f t="shared" si="12"/>
        <v>5444.16</v>
      </c>
      <c r="J491" s="131"/>
      <c r="K491" s="131"/>
      <c r="L491" s="131"/>
    </row>
    <row r="492" spans="1:12" x14ac:dyDescent="0.25">
      <c r="A492" s="252" t="s">
        <v>3013</v>
      </c>
      <c r="B492" s="252"/>
      <c r="C492" s="252"/>
      <c r="D492" s="253" t="s">
        <v>3014</v>
      </c>
      <c r="E492" s="252"/>
      <c r="F492" s="255"/>
      <c r="G492" s="255"/>
      <c r="H492" s="255"/>
      <c r="I492" s="255">
        <f>I493+I501</f>
        <v>86282.62</v>
      </c>
      <c r="J492" s="131"/>
      <c r="K492" s="131"/>
      <c r="L492" s="131"/>
    </row>
    <row r="493" spans="1:12" x14ac:dyDescent="0.25">
      <c r="A493" s="261" t="s">
        <v>3015</v>
      </c>
      <c r="B493" s="261"/>
      <c r="C493" s="261"/>
      <c r="D493" s="262" t="s">
        <v>3016</v>
      </c>
      <c r="E493" s="261"/>
      <c r="F493" s="267"/>
      <c r="G493" s="267"/>
      <c r="H493" s="267"/>
      <c r="I493" s="268">
        <f>SUM(I494:I500)</f>
        <v>43461.78</v>
      </c>
      <c r="J493" s="131"/>
      <c r="K493" s="131"/>
      <c r="L493" s="131"/>
    </row>
    <row r="494" spans="1:12" x14ac:dyDescent="0.25">
      <c r="A494" s="244" t="s">
        <v>3017</v>
      </c>
      <c r="B494" s="244" t="s">
        <v>1303</v>
      </c>
      <c r="C494" s="244" t="s">
        <v>2956</v>
      </c>
      <c r="D494" s="245" t="s">
        <v>3021</v>
      </c>
      <c r="E494" s="244" t="s">
        <v>473</v>
      </c>
      <c r="F494" s="246">
        <v>27.46</v>
      </c>
      <c r="G494" s="246">
        <v>32.659999999999997</v>
      </c>
      <c r="H494" s="246">
        <v>40.799999999999997</v>
      </c>
      <c r="I494" s="246">
        <f t="shared" si="12"/>
        <v>1120.3699999999999</v>
      </c>
      <c r="J494" s="131"/>
      <c r="K494" s="131"/>
      <c r="L494" s="131"/>
    </row>
    <row r="495" spans="1:12" x14ac:dyDescent="0.25">
      <c r="A495" s="244" t="s">
        <v>3020</v>
      </c>
      <c r="B495" s="244" t="s">
        <v>1306</v>
      </c>
      <c r="C495" s="244" t="s">
        <v>2956</v>
      </c>
      <c r="D495" s="245" t="s">
        <v>3268</v>
      </c>
      <c r="E495" s="244" t="s">
        <v>473</v>
      </c>
      <c r="F495" s="246">
        <v>97.07</v>
      </c>
      <c r="G495" s="246">
        <v>47.21</v>
      </c>
      <c r="H495" s="246">
        <v>58.98</v>
      </c>
      <c r="I495" s="246">
        <f t="shared" si="12"/>
        <v>5725.19</v>
      </c>
      <c r="J495" s="131"/>
      <c r="K495" s="131"/>
      <c r="L495" s="131"/>
    </row>
    <row r="496" spans="1:12" x14ac:dyDescent="0.25">
      <c r="A496" s="244" t="s">
        <v>3022</v>
      </c>
      <c r="B496" s="244" t="s">
        <v>1312</v>
      </c>
      <c r="C496" s="244" t="s">
        <v>2956</v>
      </c>
      <c r="D496" s="245" t="s">
        <v>3027</v>
      </c>
      <c r="E496" s="244" t="s">
        <v>473</v>
      </c>
      <c r="F496" s="246">
        <v>26.46</v>
      </c>
      <c r="G496" s="246">
        <v>80.83</v>
      </c>
      <c r="H496" s="246">
        <v>100.98</v>
      </c>
      <c r="I496" s="246">
        <f t="shared" si="12"/>
        <v>2671.93</v>
      </c>
      <c r="J496" s="131"/>
      <c r="K496" s="131"/>
      <c r="L496" s="131"/>
    </row>
    <row r="497" spans="1:12" x14ac:dyDescent="0.25">
      <c r="A497" s="244" t="s">
        <v>3024</v>
      </c>
      <c r="B497" s="244" t="s">
        <v>1315</v>
      </c>
      <c r="C497" s="244" t="s">
        <v>2956</v>
      </c>
      <c r="D497" s="245" t="s">
        <v>3269</v>
      </c>
      <c r="E497" s="244" t="s">
        <v>473</v>
      </c>
      <c r="F497" s="246">
        <v>90.95</v>
      </c>
      <c r="G497" s="246">
        <v>120.51</v>
      </c>
      <c r="H497" s="246">
        <v>150.55000000000001</v>
      </c>
      <c r="I497" s="246">
        <f t="shared" si="12"/>
        <v>13692.52</v>
      </c>
      <c r="J497" s="131"/>
      <c r="K497" s="131"/>
      <c r="L497" s="131"/>
    </row>
    <row r="498" spans="1:12" x14ac:dyDescent="0.25">
      <c r="A498" s="244" t="s">
        <v>3026</v>
      </c>
      <c r="B498" s="244" t="s">
        <v>1321</v>
      </c>
      <c r="C498" s="244" t="s">
        <v>2956</v>
      </c>
      <c r="D498" s="245" t="s">
        <v>3236</v>
      </c>
      <c r="E498" s="244" t="s">
        <v>473</v>
      </c>
      <c r="F498" s="246">
        <v>59.39</v>
      </c>
      <c r="G498" s="246">
        <v>199.36</v>
      </c>
      <c r="H498" s="246">
        <v>249.06</v>
      </c>
      <c r="I498" s="246">
        <f t="shared" si="12"/>
        <v>14791.67</v>
      </c>
      <c r="J498" s="131"/>
      <c r="K498" s="131"/>
      <c r="L498" s="131"/>
    </row>
    <row r="499" spans="1:12" ht="22.5" x14ac:dyDescent="0.25">
      <c r="A499" s="244" t="s">
        <v>3028</v>
      </c>
      <c r="B499" s="244" t="s">
        <v>1213</v>
      </c>
      <c r="C499" s="244" t="s">
        <v>2882</v>
      </c>
      <c r="D499" s="245" t="s">
        <v>2959</v>
      </c>
      <c r="E499" s="244" t="s">
        <v>473</v>
      </c>
      <c r="F499" s="246">
        <v>301.33</v>
      </c>
      <c r="G499" s="246">
        <v>7.23</v>
      </c>
      <c r="H499" s="246">
        <v>9.0299999999999994</v>
      </c>
      <c r="I499" s="246">
        <f t="shared" si="12"/>
        <v>2721.01</v>
      </c>
      <c r="J499" s="131"/>
      <c r="K499" s="131"/>
      <c r="L499" s="131"/>
    </row>
    <row r="500" spans="1:12" ht="22.5" x14ac:dyDescent="0.25">
      <c r="A500" s="244" t="s">
        <v>3030</v>
      </c>
      <c r="B500" s="244" t="s">
        <v>1216</v>
      </c>
      <c r="C500" s="244" t="s">
        <v>2882</v>
      </c>
      <c r="D500" s="245" t="s">
        <v>2961</v>
      </c>
      <c r="E500" s="244" t="s">
        <v>473</v>
      </c>
      <c r="F500" s="246">
        <v>301.33</v>
      </c>
      <c r="G500" s="246">
        <v>7.28</v>
      </c>
      <c r="H500" s="246">
        <v>9.09</v>
      </c>
      <c r="I500" s="246">
        <f>ROUND(F500*H500,2)</f>
        <v>2739.09</v>
      </c>
      <c r="J500" s="131"/>
      <c r="K500" s="131"/>
      <c r="L500" s="131"/>
    </row>
    <row r="501" spans="1:12" x14ac:dyDescent="0.25">
      <c r="A501" s="261" t="s">
        <v>3032</v>
      </c>
      <c r="B501" s="261"/>
      <c r="C501" s="261"/>
      <c r="D501" s="262" t="s">
        <v>3033</v>
      </c>
      <c r="E501" s="261"/>
      <c r="F501" s="267"/>
      <c r="G501" s="267"/>
      <c r="H501" s="267"/>
      <c r="I501" s="268">
        <f>SUM(I502:I508)</f>
        <v>42820.84</v>
      </c>
      <c r="J501" s="131"/>
      <c r="K501" s="131"/>
      <c r="L501" s="131"/>
    </row>
    <row r="502" spans="1:12" x14ac:dyDescent="0.25">
      <c r="A502" s="244" t="s">
        <v>3034</v>
      </c>
      <c r="B502" s="244" t="s">
        <v>1303</v>
      </c>
      <c r="C502" s="244" t="s">
        <v>2956</v>
      </c>
      <c r="D502" s="245" t="s">
        <v>3021</v>
      </c>
      <c r="E502" s="244" t="s">
        <v>473</v>
      </c>
      <c r="F502" s="246">
        <v>22</v>
      </c>
      <c r="G502" s="246">
        <v>32.659999999999997</v>
      </c>
      <c r="H502" s="246">
        <v>40.799999999999997</v>
      </c>
      <c r="I502" s="246">
        <f t="shared" si="12"/>
        <v>897.6</v>
      </c>
      <c r="J502" s="131"/>
      <c r="K502" s="131"/>
      <c r="L502" s="131"/>
    </row>
    <row r="503" spans="1:12" x14ac:dyDescent="0.25">
      <c r="A503" s="244" t="s">
        <v>3035</v>
      </c>
      <c r="B503" s="244" t="s">
        <v>1306</v>
      </c>
      <c r="C503" s="244" t="s">
        <v>2956</v>
      </c>
      <c r="D503" s="245" t="s">
        <v>3268</v>
      </c>
      <c r="E503" s="244" t="s">
        <v>473</v>
      </c>
      <c r="F503" s="246">
        <v>94.57</v>
      </c>
      <c r="G503" s="246">
        <v>47.21</v>
      </c>
      <c r="H503" s="246">
        <v>58.98</v>
      </c>
      <c r="I503" s="246">
        <f t="shared" si="12"/>
        <v>5577.74</v>
      </c>
      <c r="J503" s="131"/>
      <c r="K503" s="131"/>
      <c r="L503" s="131"/>
    </row>
    <row r="504" spans="1:12" x14ac:dyDescent="0.25">
      <c r="A504" s="244" t="s">
        <v>3036</v>
      </c>
      <c r="B504" s="244" t="s">
        <v>1312</v>
      </c>
      <c r="C504" s="244" t="s">
        <v>2956</v>
      </c>
      <c r="D504" s="245" t="s">
        <v>3027</v>
      </c>
      <c r="E504" s="244" t="s">
        <v>473</v>
      </c>
      <c r="F504" s="246">
        <v>26.51</v>
      </c>
      <c r="G504" s="246">
        <v>80.83</v>
      </c>
      <c r="H504" s="246">
        <v>100.98</v>
      </c>
      <c r="I504" s="246">
        <f t="shared" si="12"/>
        <v>2676.98</v>
      </c>
      <c r="J504" s="131"/>
      <c r="K504" s="131"/>
      <c r="L504" s="131"/>
    </row>
    <row r="505" spans="1:12" x14ac:dyDescent="0.25">
      <c r="A505" s="244" t="s">
        <v>3037</v>
      </c>
      <c r="B505" s="244" t="s">
        <v>1315</v>
      </c>
      <c r="C505" s="244" t="s">
        <v>2956</v>
      </c>
      <c r="D505" s="245" t="s">
        <v>3269</v>
      </c>
      <c r="E505" s="244" t="s">
        <v>473</v>
      </c>
      <c r="F505" s="246">
        <v>90.83</v>
      </c>
      <c r="G505" s="246">
        <v>120.51</v>
      </c>
      <c r="H505" s="246">
        <v>150.55000000000001</v>
      </c>
      <c r="I505" s="246">
        <f t="shared" si="12"/>
        <v>13674.46</v>
      </c>
      <c r="J505" s="131"/>
      <c r="K505" s="131"/>
      <c r="L505" s="131"/>
    </row>
    <row r="506" spans="1:12" x14ac:dyDescent="0.25">
      <c r="A506" s="244" t="s">
        <v>3038</v>
      </c>
      <c r="B506" s="244" t="s">
        <v>1321</v>
      </c>
      <c r="C506" s="244" t="s">
        <v>2956</v>
      </c>
      <c r="D506" s="245" t="s">
        <v>3236</v>
      </c>
      <c r="E506" s="244" t="s">
        <v>473</v>
      </c>
      <c r="F506" s="246">
        <v>58.97</v>
      </c>
      <c r="G506" s="246">
        <v>199.36</v>
      </c>
      <c r="H506" s="246">
        <v>249.06</v>
      </c>
      <c r="I506" s="246">
        <f t="shared" si="12"/>
        <v>14687.07</v>
      </c>
      <c r="J506" s="131"/>
      <c r="K506" s="131"/>
      <c r="L506" s="131"/>
    </row>
    <row r="507" spans="1:12" ht="22.5" x14ac:dyDescent="0.25">
      <c r="A507" s="244" t="s">
        <v>3039</v>
      </c>
      <c r="B507" s="244" t="s">
        <v>1213</v>
      </c>
      <c r="C507" s="244" t="s">
        <v>2882</v>
      </c>
      <c r="D507" s="245" t="s">
        <v>2959</v>
      </c>
      <c r="E507" s="244" t="s">
        <v>473</v>
      </c>
      <c r="F507" s="246">
        <v>292.88</v>
      </c>
      <c r="G507" s="246">
        <v>7.23</v>
      </c>
      <c r="H507" s="246">
        <v>9.0299999999999994</v>
      </c>
      <c r="I507" s="246">
        <f t="shared" si="12"/>
        <v>2644.71</v>
      </c>
      <c r="J507" s="131"/>
      <c r="K507" s="131"/>
      <c r="L507" s="131"/>
    </row>
    <row r="508" spans="1:12" ht="22.5" x14ac:dyDescent="0.25">
      <c r="A508" s="244" t="s">
        <v>3040</v>
      </c>
      <c r="B508" s="244" t="s">
        <v>1216</v>
      </c>
      <c r="C508" s="244" t="s">
        <v>2882</v>
      </c>
      <c r="D508" s="245" t="s">
        <v>2961</v>
      </c>
      <c r="E508" s="244" t="s">
        <v>473</v>
      </c>
      <c r="F508" s="246">
        <v>292.88</v>
      </c>
      <c r="G508" s="246">
        <v>7.28</v>
      </c>
      <c r="H508" s="246">
        <v>9.09</v>
      </c>
      <c r="I508" s="246">
        <f t="shared" si="12"/>
        <v>2662.28</v>
      </c>
      <c r="J508" s="131"/>
      <c r="K508" s="131"/>
      <c r="L508" s="131"/>
    </row>
    <row r="509" spans="1:12" x14ac:dyDescent="0.25">
      <c r="A509" s="252" t="s">
        <v>3041</v>
      </c>
      <c r="B509" s="252"/>
      <c r="C509" s="252"/>
      <c r="D509" s="253" t="s">
        <v>3042</v>
      </c>
      <c r="E509" s="252"/>
      <c r="F509" s="255"/>
      <c r="G509" s="255"/>
      <c r="H509" s="255"/>
      <c r="I509" s="255">
        <f>SUM(I510:I521)</f>
        <v>10599.730000000001</v>
      </c>
      <c r="J509" s="131"/>
      <c r="K509" s="131"/>
      <c r="L509" s="131"/>
    </row>
    <row r="510" spans="1:12" x14ac:dyDescent="0.25">
      <c r="A510" s="244" t="s">
        <v>3043</v>
      </c>
      <c r="B510" s="244" t="s">
        <v>1396</v>
      </c>
      <c r="C510" s="244" t="s">
        <v>504</v>
      </c>
      <c r="D510" s="245" t="s">
        <v>3270</v>
      </c>
      <c r="E510" s="244" t="s">
        <v>1082</v>
      </c>
      <c r="F510" s="246">
        <v>2</v>
      </c>
      <c r="G510" s="246">
        <v>20.170000000000002</v>
      </c>
      <c r="H510" s="246">
        <v>25.2</v>
      </c>
      <c r="I510" s="246">
        <f t="shared" si="12"/>
        <v>50.4</v>
      </c>
      <c r="J510" s="131"/>
      <c r="K510" s="131"/>
      <c r="L510" s="131"/>
    </row>
    <row r="511" spans="1:12" x14ac:dyDescent="0.25">
      <c r="A511" s="244" t="s">
        <v>3045</v>
      </c>
      <c r="B511" s="244" t="s">
        <v>1399</v>
      </c>
      <c r="C511" s="244" t="s">
        <v>504</v>
      </c>
      <c r="D511" s="245" t="s">
        <v>3271</v>
      </c>
      <c r="E511" s="244" t="s">
        <v>1082</v>
      </c>
      <c r="F511" s="246">
        <v>2</v>
      </c>
      <c r="G511" s="246">
        <v>12.69</v>
      </c>
      <c r="H511" s="246">
        <v>15.85</v>
      </c>
      <c r="I511" s="246">
        <f t="shared" si="12"/>
        <v>31.7</v>
      </c>
      <c r="J511" s="131"/>
      <c r="K511" s="131"/>
      <c r="L511" s="131"/>
    </row>
    <row r="512" spans="1:12" x14ac:dyDescent="0.25">
      <c r="A512" s="244" t="s">
        <v>3047</v>
      </c>
      <c r="B512" s="244" t="s">
        <v>1402</v>
      </c>
      <c r="C512" s="244" t="s">
        <v>504</v>
      </c>
      <c r="D512" s="245" t="s">
        <v>3272</v>
      </c>
      <c r="E512" s="244" t="s">
        <v>1082</v>
      </c>
      <c r="F512" s="246">
        <v>2</v>
      </c>
      <c r="G512" s="246">
        <v>98.26</v>
      </c>
      <c r="H512" s="246">
        <v>122.76</v>
      </c>
      <c r="I512" s="246">
        <f t="shared" si="12"/>
        <v>245.52</v>
      </c>
      <c r="J512" s="131"/>
      <c r="K512" s="131"/>
      <c r="L512" s="131"/>
    </row>
    <row r="513" spans="1:12" x14ac:dyDescent="0.25">
      <c r="A513" s="244" t="s">
        <v>3049</v>
      </c>
      <c r="B513" s="244" t="s">
        <v>3273</v>
      </c>
      <c r="C513" s="244" t="s">
        <v>2882</v>
      </c>
      <c r="D513" s="245" t="s">
        <v>3274</v>
      </c>
      <c r="E513" s="244" t="s">
        <v>1082</v>
      </c>
      <c r="F513" s="246">
        <v>2</v>
      </c>
      <c r="G513" s="246">
        <v>140.1</v>
      </c>
      <c r="H513" s="246">
        <v>175.03</v>
      </c>
      <c r="I513" s="246">
        <f t="shared" si="12"/>
        <v>350.06</v>
      </c>
      <c r="J513" s="131"/>
      <c r="K513" s="131"/>
      <c r="L513" s="131"/>
    </row>
    <row r="514" spans="1:12" ht="22.5" x14ac:dyDescent="0.25">
      <c r="A514" s="244" t="s">
        <v>3051</v>
      </c>
      <c r="B514" s="244" t="s">
        <v>1225</v>
      </c>
      <c r="C514" s="244" t="s">
        <v>2882</v>
      </c>
      <c r="D514" s="245" t="s">
        <v>3052</v>
      </c>
      <c r="E514" s="244" t="s">
        <v>1082</v>
      </c>
      <c r="F514" s="246">
        <v>27</v>
      </c>
      <c r="G514" s="246">
        <v>12.13</v>
      </c>
      <c r="H514" s="246">
        <v>15.15</v>
      </c>
      <c r="I514" s="246">
        <f t="shared" si="12"/>
        <v>409.05</v>
      </c>
      <c r="J514" s="131"/>
      <c r="K514" s="131"/>
      <c r="L514" s="131"/>
    </row>
    <row r="515" spans="1:12" x14ac:dyDescent="0.25">
      <c r="A515" s="244" t="s">
        <v>3053</v>
      </c>
      <c r="B515" s="244" t="s">
        <v>1279</v>
      </c>
      <c r="C515" s="244" t="s">
        <v>2956</v>
      </c>
      <c r="D515" s="245" t="s">
        <v>3275</v>
      </c>
      <c r="E515" s="244" t="s">
        <v>1082</v>
      </c>
      <c r="F515" s="246">
        <v>26</v>
      </c>
      <c r="G515" s="246">
        <v>12.15</v>
      </c>
      <c r="H515" s="246">
        <v>15.18</v>
      </c>
      <c r="I515" s="246">
        <f t="shared" si="12"/>
        <v>394.68</v>
      </c>
      <c r="J515" s="131"/>
      <c r="K515" s="131"/>
      <c r="L515" s="131"/>
    </row>
    <row r="516" spans="1:12" ht="22.5" x14ac:dyDescent="0.25">
      <c r="A516" s="244" t="s">
        <v>3055</v>
      </c>
      <c r="B516" s="244" t="s">
        <v>1405</v>
      </c>
      <c r="C516" s="244" t="s">
        <v>504</v>
      </c>
      <c r="D516" s="245" t="s">
        <v>3276</v>
      </c>
      <c r="E516" s="244" t="s">
        <v>1082</v>
      </c>
      <c r="F516" s="246">
        <v>2</v>
      </c>
      <c r="G516" s="246">
        <v>454.3</v>
      </c>
      <c r="H516" s="246">
        <v>567.55999999999995</v>
      </c>
      <c r="I516" s="246">
        <f t="shared" si="12"/>
        <v>1135.1199999999999</v>
      </c>
      <c r="J516" s="131"/>
      <c r="K516" s="131"/>
      <c r="L516" s="131"/>
    </row>
    <row r="517" spans="1:12" ht="22.5" x14ac:dyDescent="0.25">
      <c r="A517" s="244" t="s">
        <v>3057</v>
      </c>
      <c r="B517" s="244" t="s">
        <v>1408</v>
      </c>
      <c r="C517" s="244" t="s">
        <v>504</v>
      </c>
      <c r="D517" s="245" t="s">
        <v>3277</v>
      </c>
      <c r="E517" s="244" t="s">
        <v>1082</v>
      </c>
      <c r="F517" s="246">
        <v>4</v>
      </c>
      <c r="G517" s="246">
        <v>411.83</v>
      </c>
      <c r="H517" s="246">
        <v>514.5</v>
      </c>
      <c r="I517" s="246">
        <f t="shared" si="12"/>
        <v>2058</v>
      </c>
      <c r="J517" s="131"/>
      <c r="K517" s="131"/>
      <c r="L517" s="131"/>
    </row>
    <row r="518" spans="1:12" ht="22.5" x14ac:dyDescent="0.25">
      <c r="A518" s="244" t="s">
        <v>3059</v>
      </c>
      <c r="B518" s="244" t="s">
        <v>1414</v>
      </c>
      <c r="C518" s="244" t="s">
        <v>504</v>
      </c>
      <c r="D518" s="245" t="s">
        <v>3278</v>
      </c>
      <c r="E518" s="244" t="s">
        <v>1082</v>
      </c>
      <c r="F518" s="246">
        <v>24</v>
      </c>
      <c r="G518" s="246">
        <v>106.9</v>
      </c>
      <c r="H518" s="246">
        <v>133.55000000000001</v>
      </c>
      <c r="I518" s="246">
        <f t="shared" si="12"/>
        <v>3205.2</v>
      </c>
      <c r="J518" s="131"/>
      <c r="K518" s="131"/>
      <c r="L518" s="131"/>
    </row>
    <row r="519" spans="1:12" ht="22.5" x14ac:dyDescent="0.25">
      <c r="A519" s="244" t="s">
        <v>3060</v>
      </c>
      <c r="B519" s="244" t="s">
        <v>1411</v>
      </c>
      <c r="C519" s="244" t="s">
        <v>504</v>
      </c>
      <c r="D519" s="245" t="s">
        <v>3279</v>
      </c>
      <c r="E519" s="244" t="s">
        <v>1082</v>
      </c>
      <c r="F519" s="246">
        <v>4</v>
      </c>
      <c r="G519" s="246">
        <v>63.26</v>
      </c>
      <c r="H519" s="246">
        <v>79.03</v>
      </c>
      <c r="I519" s="246">
        <f t="shared" si="12"/>
        <v>316.12</v>
      </c>
      <c r="J519" s="131"/>
      <c r="K519" s="131"/>
      <c r="L519" s="131"/>
    </row>
    <row r="520" spans="1:12" ht="22.5" x14ac:dyDescent="0.25">
      <c r="A520" s="244" t="s">
        <v>3062</v>
      </c>
      <c r="B520" s="244" t="s">
        <v>1234</v>
      </c>
      <c r="C520" s="244" t="s">
        <v>2882</v>
      </c>
      <c r="D520" s="245" t="s">
        <v>3280</v>
      </c>
      <c r="E520" s="244" t="s">
        <v>1082</v>
      </c>
      <c r="F520" s="246">
        <v>32</v>
      </c>
      <c r="G520" s="246">
        <v>15.65</v>
      </c>
      <c r="H520" s="246">
        <v>19.55</v>
      </c>
      <c r="I520" s="246">
        <f t="shared" si="12"/>
        <v>625.6</v>
      </c>
      <c r="J520" s="131"/>
      <c r="K520" s="131"/>
      <c r="L520" s="131"/>
    </row>
    <row r="521" spans="1:12" x14ac:dyDescent="0.25">
      <c r="A521" s="244" t="s">
        <v>3281</v>
      </c>
      <c r="B521" s="244" t="s">
        <v>1210</v>
      </c>
      <c r="C521" s="244" t="s">
        <v>2882</v>
      </c>
      <c r="D521" s="245" t="s">
        <v>3282</v>
      </c>
      <c r="E521" s="244" t="s">
        <v>1082</v>
      </c>
      <c r="F521" s="246">
        <v>28</v>
      </c>
      <c r="G521" s="246">
        <v>50.84</v>
      </c>
      <c r="H521" s="246">
        <v>63.51</v>
      </c>
      <c r="I521" s="246">
        <f t="shared" si="12"/>
        <v>1778.28</v>
      </c>
      <c r="J521" s="131"/>
      <c r="K521" s="131"/>
      <c r="L521" s="131"/>
    </row>
    <row r="522" spans="1:12" x14ac:dyDescent="0.25">
      <c r="A522" s="252" t="s">
        <v>3068</v>
      </c>
      <c r="B522" s="252"/>
      <c r="C522" s="252"/>
      <c r="D522" s="253" t="s">
        <v>3069</v>
      </c>
      <c r="E522" s="252"/>
      <c r="F522" s="255"/>
      <c r="G522" s="255"/>
      <c r="H522" s="255"/>
      <c r="I522" s="255">
        <f>SUM(I523:I533)</f>
        <v>78906.92</v>
      </c>
      <c r="J522" s="131"/>
      <c r="K522" s="131"/>
      <c r="L522" s="131"/>
    </row>
    <row r="523" spans="1:12" x14ac:dyDescent="0.25">
      <c r="A523" s="244" t="s">
        <v>3110</v>
      </c>
      <c r="B523" s="244" t="s">
        <v>3071</v>
      </c>
      <c r="C523" s="244" t="s">
        <v>2956</v>
      </c>
      <c r="D523" s="245" t="s">
        <v>3072</v>
      </c>
      <c r="E523" s="244" t="s">
        <v>1082</v>
      </c>
      <c r="F523" s="246">
        <v>23</v>
      </c>
      <c r="G523" s="246">
        <v>195.08</v>
      </c>
      <c r="H523" s="246">
        <v>243.71</v>
      </c>
      <c r="I523" s="246">
        <f t="shared" si="12"/>
        <v>5605.33</v>
      </c>
      <c r="J523" s="131"/>
      <c r="K523" s="131"/>
      <c r="L523" s="131"/>
    </row>
    <row r="524" spans="1:12" ht="33.75" x14ac:dyDescent="0.25">
      <c r="A524" s="244" t="s">
        <v>3070</v>
      </c>
      <c r="B524" s="244" t="s">
        <v>3074</v>
      </c>
      <c r="C524" s="244" t="s">
        <v>2882</v>
      </c>
      <c r="D524" s="245" t="s">
        <v>3075</v>
      </c>
      <c r="E524" s="244" t="s">
        <v>1082</v>
      </c>
      <c r="F524" s="246">
        <v>10</v>
      </c>
      <c r="G524" s="246">
        <v>313.45999999999998</v>
      </c>
      <c r="H524" s="246">
        <v>391.61</v>
      </c>
      <c r="I524" s="246">
        <f t="shared" si="12"/>
        <v>3916.1</v>
      </c>
      <c r="J524" s="131"/>
      <c r="K524" s="131"/>
      <c r="L524" s="131"/>
    </row>
    <row r="525" spans="1:12" x14ac:dyDescent="0.25">
      <c r="A525" s="244" t="s">
        <v>3073</v>
      </c>
      <c r="B525" s="244" t="s">
        <v>1339</v>
      </c>
      <c r="C525" s="244" t="s">
        <v>2956</v>
      </c>
      <c r="D525" s="245" t="s">
        <v>3079</v>
      </c>
      <c r="E525" s="244" t="s">
        <v>1082</v>
      </c>
      <c r="F525" s="246">
        <v>25</v>
      </c>
      <c r="G525" s="246">
        <v>87.71</v>
      </c>
      <c r="H525" s="246">
        <v>109.58</v>
      </c>
      <c r="I525" s="246">
        <f t="shared" ref="I525:I533" si="13">ROUND(F525*H525,2)</f>
        <v>2739.5</v>
      </c>
      <c r="J525" s="131"/>
      <c r="K525" s="131"/>
      <c r="L525" s="131"/>
    </row>
    <row r="526" spans="1:12" ht="33.75" x14ac:dyDescent="0.25">
      <c r="A526" s="244" t="s">
        <v>3076</v>
      </c>
      <c r="B526" s="244" t="s">
        <v>1204</v>
      </c>
      <c r="C526" s="244" t="s">
        <v>2882</v>
      </c>
      <c r="D526" s="245" t="s">
        <v>3081</v>
      </c>
      <c r="E526" s="244" t="s">
        <v>1082</v>
      </c>
      <c r="F526" s="246">
        <v>25</v>
      </c>
      <c r="G526" s="246">
        <v>184.57</v>
      </c>
      <c r="H526" s="246">
        <v>230.58</v>
      </c>
      <c r="I526" s="246">
        <f t="shared" si="13"/>
        <v>5764.5</v>
      </c>
      <c r="J526" s="131"/>
      <c r="K526" s="131"/>
      <c r="L526" s="131"/>
    </row>
    <row r="527" spans="1:12" x14ac:dyDescent="0.25">
      <c r="A527" s="244" t="s">
        <v>3078</v>
      </c>
      <c r="B527" s="244" t="s">
        <v>1255</v>
      </c>
      <c r="C527" s="244" t="s">
        <v>2956</v>
      </c>
      <c r="D527" s="245" t="s">
        <v>3083</v>
      </c>
      <c r="E527" s="244" t="s">
        <v>1082</v>
      </c>
      <c r="F527" s="246">
        <v>28</v>
      </c>
      <c r="G527" s="246">
        <v>58.28</v>
      </c>
      <c r="H527" s="246">
        <v>72.81</v>
      </c>
      <c r="I527" s="246">
        <f t="shared" si="13"/>
        <v>2038.68</v>
      </c>
      <c r="J527" s="131"/>
      <c r="K527" s="131"/>
      <c r="L527" s="131"/>
    </row>
    <row r="528" spans="1:12" ht="22.5" x14ac:dyDescent="0.25">
      <c r="A528" s="244" t="s">
        <v>3080</v>
      </c>
      <c r="B528" s="244" t="s">
        <v>3085</v>
      </c>
      <c r="C528" s="244" t="s">
        <v>2956</v>
      </c>
      <c r="D528" s="245" t="s">
        <v>3086</v>
      </c>
      <c r="E528" s="244" t="s">
        <v>1082</v>
      </c>
      <c r="F528" s="246">
        <v>4</v>
      </c>
      <c r="G528" s="246">
        <v>762.68</v>
      </c>
      <c r="H528" s="246">
        <v>952.82</v>
      </c>
      <c r="I528" s="246">
        <f t="shared" si="13"/>
        <v>3811.28</v>
      </c>
      <c r="J528" s="131"/>
      <c r="K528" s="131"/>
      <c r="L528" s="131"/>
    </row>
    <row r="529" spans="1:12" x14ac:dyDescent="0.25">
      <c r="A529" s="244" t="s">
        <v>3082</v>
      </c>
      <c r="B529" s="244" t="s">
        <v>1258</v>
      </c>
      <c r="C529" s="244" t="s">
        <v>2956</v>
      </c>
      <c r="D529" s="245" t="s">
        <v>3088</v>
      </c>
      <c r="E529" s="244" t="s">
        <v>1082</v>
      </c>
      <c r="F529" s="246">
        <v>2</v>
      </c>
      <c r="G529" s="246">
        <v>182.59</v>
      </c>
      <c r="H529" s="246">
        <v>228.11</v>
      </c>
      <c r="I529" s="246">
        <f t="shared" si="13"/>
        <v>456.22</v>
      </c>
      <c r="J529" s="131"/>
      <c r="K529" s="131"/>
      <c r="L529" s="131"/>
    </row>
    <row r="530" spans="1:12" ht="45" x14ac:dyDescent="0.25">
      <c r="A530" s="244" t="s">
        <v>3084</v>
      </c>
      <c r="B530" s="244" t="s">
        <v>3090</v>
      </c>
      <c r="C530" s="244" t="s">
        <v>2882</v>
      </c>
      <c r="D530" s="245" t="s">
        <v>3091</v>
      </c>
      <c r="E530" s="244" t="s">
        <v>1082</v>
      </c>
      <c r="F530" s="246">
        <v>88</v>
      </c>
      <c r="G530" s="246">
        <v>399.47</v>
      </c>
      <c r="H530" s="246">
        <v>499.06</v>
      </c>
      <c r="I530" s="246">
        <f t="shared" si="13"/>
        <v>43917.279999999999</v>
      </c>
      <c r="J530" s="131"/>
      <c r="K530" s="131"/>
      <c r="L530" s="131"/>
    </row>
    <row r="531" spans="1:12" x14ac:dyDescent="0.25">
      <c r="A531" s="244" t="s">
        <v>3087</v>
      </c>
      <c r="B531" s="244" t="s">
        <v>3093</v>
      </c>
      <c r="C531" s="244" t="s">
        <v>2956</v>
      </c>
      <c r="D531" s="245" t="s">
        <v>3094</v>
      </c>
      <c r="E531" s="244" t="s">
        <v>1082</v>
      </c>
      <c r="F531" s="246">
        <v>9</v>
      </c>
      <c r="G531" s="246">
        <v>697.79</v>
      </c>
      <c r="H531" s="246">
        <v>871.75</v>
      </c>
      <c r="I531" s="246">
        <f t="shared" si="13"/>
        <v>7845.75</v>
      </c>
      <c r="J531" s="131"/>
      <c r="K531" s="131"/>
      <c r="L531" s="131"/>
    </row>
    <row r="532" spans="1:12" ht="33.75" x14ac:dyDescent="0.25">
      <c r="A532" s="244" t="s">
        <v>3089</v>
      </c>
      <c r="B532" s="244" t="s">
        <v>3096</v>
      </c>
      <c r="C532" s="244" t="s">
        <v>2882</v>
      </c>
      <c r="D532" s="245" t="s">
        <v>3097</v>
      </c>
      <c r="E532" s="244" t="s">
        <v>1082</v>
      </c>
      <c r="F532" s="246">
        <v>3</v>
      </c>
      <c r="G532" s="246">
        <v>509.25</v>
      </c>
      <c r="H532" s="246">
        <v>636.21</v>
      </c>
      <c r="I532" s="246">
        <f t="shared" si="13"/>
        <v>1908.63</v>
      </c>
      <c r="J532" s="131"/>
      <c r="K532" s="131"/>
      <c r="L532" s="131"/>
    </row>
    <row r="533" spans="1:12" ht="22.5" x14ac:dyDescent="0.25">
      <c r="A533" s="244" t="s">
        <v>3092</v>
      </c>
      <c r="B533" s="244" t="s">
        <v>3099</v>
      </c>
      <c r="C533" s="244" t="s">
        <v>2882</v>
      </c>
      <c r="D533" s="245" t="s">
        <v>3100</v>
      </c>
      <c r="E533" s="244" t="s">
        <v>1082</v>
      </c>
      <c r="F533" s="246">
        <v>11</v>
      </c>
      <c r="G533" s="246">
        <v>65.760000000000005</v>
      </c>
      <c r="H533" s="246">
        <v>82.15</v>
      </c>
      <c r="I533" s="246">
        <f t="shared" si="13"/>
        <v>903.65</v>
      </c>
      <c r="J533" s="131"/>
      <c r="K533" s="131"/>
      <c r="L533" s="131"/>
    </row>
    <row r="534" spans="1:12" x14ac:dyDescent="0.25">
      <c r="A534" s="976"/>
      <c r="B534" s="976"/>
      <c r="C534" s="976"/>
      <c r="D534" s="976"/>
      <c r="E534" s="976" t="s">
        <v>3283</v>
      </c>
      <c r="F534" s="976"/>
      <c r="G534" s="977">
        <f>SUM(I8:I533)/2</f>
        <v>985539.45500000066</v>
      </c>
      <c r="H534" s="978"/>
      <c r="I534" s="978"/>
      <c r="J534" s="271"/>
      <c r="K534" s="272"/>
      <c r="L534" s="272"/>
    </row>
    <row r="535" spans="1:12" x14ac:dyDescent="0.25">
      <c r="A535" s="976"/>
      <c r="B535" s="976"/>
      <c r="C535" s="976"/>
      <c r="D535" s="976"/>
      <c r="E535" s="976" t="s">
        <v>3284</v>
      </c>
      <c r="F535" s="976"/>
      <c r="G535" s="978" t="s">
        <v>3285</v>
      </c>
      <c r="H535" s="978"/>
      <c r="I535" s="978"/>
    </row>
    <row r="536" spans="1:12" x14ac:dyDescent="0.25">
      <c r="A536" s="972"/>
      <c r="B536" s="972"/>
      <c r="C536" s="972"/>
      <c r="D536" s="972"/>
      <c r="E536" s="973" t="s">
        <v>3286</v>
      </c>
      <c r="F536" s="973"/>
      <c r="G536" s="974">
        <f>I408+I486</f>
        <v>1420.77</v>
      </c>
      <c r="H536" s="975"/>
      <c r="I536" s="975"/>
    </row>
    <row r="538" spans="1:12" x14ac:dyDescent="0.25">
      <c r="C538" s="969" t="s">
        <v>3287</v>
      </c>
      <c r="D538" s="970"/>
      <c r="E538" s="970"/>
      <c r="F538" s="970"/>
      <c r="G538" s="971"/>
    </row>
    <row r="539" spans="1:12" ht="15.6" customHeight="1" x14ac:dyDescent="0.25">
      <c r="C539" s="659" t="s">
        <v>304</v>
      </c>
      <c r="D539" s="659" t="s">
        <v>3288</v>
      </c>
      <c r="E539" s="659" t="s">
        <v>306</v>
      </c>
      <c r="F539" s="658" t="s">
        <v>6</v>
      </c>
      <c r="G539" s="658" t="s">
        <v>3289</v>
      </c>
    </row>
    <row r="540" spans="1:12" ht="15.6" customHeight="1" x14ac:dyDescent="0.25">
      <c r="C540" s="659"/>
      <c r="D540" s="253" t="s">
        <v>3290</v>
      </c>
      <c r="E540" s="657"/>
      <c r="F540" s="658"/>
      <c r="G540" s="658"/>
    </row>
    <row r="541" spans="1:12" x14ac:dyDescent="0.25">
      <c r="C541" s="245" t="s">
        <v>1324</v>
      </c>
      <c r="D541" s="270" t="s">
        <v>2957</v>
      </c>
      <c r="E541" s="279" t="s">
        <v>473</v>
      </c>
      <c r="F541" s="244">
        <v>72.91</v>
      </c>
      <c r="G541" s="246">
        <v>55.4</v>
      </c>
    </row>
    <row r="542" spans="1:12" x14ac:dyDescent="0.25">
      <c r="C542" s="245" t="s">
        <v>1120</v>
      </c>
      <c r="D542" s="270" t="s">
        <v>3237</v>
      </c>
      <c r="E542" s="279" t="s">
        <v>473</v>
      </c>
      <c r="F542" s="244">
        <v>6.6</v>
      </c>
      <c r="G542" s="246">
        <v>35.17</v>
      </c>
    </row>
    <row r="543" spans="1:12" ht="22.5" x14ac:dyDescent="0.25">
      <c r="C543" s="245" t="s">
        <v>1162</v>
      </c>
      <c r="D543" s="270" t="s">
        <v>2950</v>
      </c>
      <c r="E543" s="279" t="s">
        <v>473</v>
      </c>
      <c r="F543" s="244">
        <v>1634.3600000000001</v>
      </c>
      <c r="G543" s="246">
        <v>11.78</v>
      </c>
    </row>
    <row r="544" spans="1:12" ht="22.5" x14ac:dyDescent="0.25">
      <c r="C544" s="245" t="s">
        <v>1177</v>
      </c>
      <c r="D544" s="270" t="s">
        <v>2952</v>
      </c>
      <c r="E544" s="279" t="s">
        <v>473</v>
      </c>
      <c r="F544" s="244">
        <v>867.24</v>
      </c>
      <c r="G544" s="246">
        <v>9.17</v>
      </c>
    </row>
    <row r="545" spans="3:7" ht="22.5" x14ac:dyDescent="0.25">
      <c r="C545" s="245" t="s">
        <v>1180</v>
      </c>
      <c r="D545" s="270" t="s">
        <v>2954</v>
      </c>
      <c r="E545" s="279" t="s">
        <v>473</v>
      </c>
      <c r="F545" s="244">
        <v>340.26000000000005</v>
      </c>
      <c r="G545" s="246">
        <v>14</v>
      </c>
    </row>
    <row r="546" spans="3:7" ht="22.5" x14ac:dyDescent="0.25">
      <c r="C546" s="245" t="s">
        <v>1183</v>
      </c>
      <c r="D546" s="270" t="s">
        <v>3102</v>
      </c>
      <c r="E546" s="279" t="s">
        <v>473</v>
      </c>
      <c r="F546" s="244">
        <v>144.79000000000002</v>
      </c>
      <c r="G546" s="246">
        <v>19.489999999999998</v>
      </c>
    </row>
    <row r="547" spans="3:7" ht="15.6" customHeight="1" x14ac:dyDescent="0.25">
      <c r="C547" s="659"/>
      <c r="D547" s="253" t="s">
        <v>3291</v>
      </c>
      <c r="E547" s="657"/>
      <c r="F547" s="658"/>
      <c r="G547" s="658"/>
    </row>
    <row r="548" spans="3:7" x14ac:dyDescent="0.25">
      <c r="C548" s="245" t="s">
        <v>1366</v>
      </c>
      <c r="D548" s="270" t="s">
        <v>3107</v>
      </c>
      <c r="E548" s="279" t="s">
        <v>1082</v>
      </c>
      <c r="F548" s="244">
        <v>1</v>
      </c>
      <c r="G548" s="246">
        <v>19.38</v>
      </c>
    </row>
    <row r="549" spans="3:7" ht="22.5" x14ac:dyDescent="0.25">
      <c r="C549" s="245" t="s">
        <v>1354</v>
      </c>
      <c r="D549" s="270" t="s">
        <v>3004</v>
      </c>
      <c r="E549" s="279" t="s">
        <v>1082</v>
      </c>
      <c r="F549" s="244">
        <v>1</v>
      </c>
      <c r="G549" s="246">
        <v>26.39</v>
      </c>
    </row>
    <row r="550" spans="3:7" ht="22.5" x14ac:dyDescent="0.25">
      <c r="C550" s="245" t="s">
        <v>1357</v>
      </c>
      <c r="D550" s="270" t="s">
        <v>3006</v>
      </c>
      <c r="E550" s="279" t="s">
        <v>1082</v>
      </c>
      <c r="F550" s="244">
        <v>7</v>
      </c>
      <c r="G550" s="246">
        <v>14.83</v>
      </c>
    </row>
    <row r="551" spans="3:7" ht="22.5" x14ac:dyDescent="0.25">
      <c r="C551" s="245" t="s">
        <v>1186</v>
      </c>
      <c r="D551" s="270" t="s">
        <v>2971</v>
      </c>
      <c r="E551" s="279" t="s">
        <v>1082</v>
      </c>
      <c r="F551" s="244">
        <v>6</v>
      </c>
      <c r="G551" s="246">
        <v>2.99</v>
      </c>
    </row>
    <row r="552" spans="3:7" ht="22.5" x14ac:dyDescent="0.25">
      <c r="C552" s="245" t="s">
        <v>1192</v>
      </c>
      <c r="D552" s="270" t="s">
        <v>2973</v>
      </c>
      <c r="E552" s="279" t="s">
        <v>1082</v>
      </c>
      <c r="F552" s="244">
        <v>17</v>
      </c>
      <c r="G552" s="246">
        <v>8.2100000000000009</v>
      </c>
    </row>
    <row r="553" spans="3:7" ht="22.5" x14ac:dyDescent="0.25">
      <c r="C553" s="245" t="s">
        <v>1168</v>
      </c>
      <c r="D553" s="270" t="s">
        <v>2981</v>
      </c>
      <c r="E553" s="279" t="s">
        <v>1082</v>
      </c>
      <c r="F553" s="244">
        <v>402</v>
      </c>
      <c r="G553" s="246">
        <v>8.65</v>
      </c>
    </row>
    <row r="554" spans="3:7" ht="22.5" x14ac:dyDescent="0.25">
      <c r="C554" s="245" t="s">
        <v>1165</v>
      </c>
      <c r="D554" s="270" t="s">
        <v>2975</v>
      </c>
      <c r="E554" s="279" t="s">
        <v>1082</v>
      </c>
      <c r="F554" s="244">
        <v>617</v>
      </c>
      <c r="G554" s="246">
        <v>4.88</v>
      </c>
    </row>
    <row r="555" spans="3:7" ht="22.5" x14ac:dyDescent="0.25">
      <c r="C555" s="245" t="s">
        <v>1189</v>
      </c>
      <c r="D555" s="270" t="s">
        <v>2977</v>
      </c>
      <c r="E555" s="279" t="s">
        <v>1082</v>
      </c>
      <c r="F555" s="244">
        <v>106</v>
      </c>
      <c r="G555" s="246">
        <v>7.18</v>
      </c>
    </row>
    <row r="556" spans="3:7" ht="22.5" x14ac:dyDescent="0.25">
      <c r="C556" s="245" t="s">
        <v>1195</v>
      </c>
      <c r="D556" s="270" t="s">
        <v>2979</v>
      </c>
      <c r="E556" s="279" t="s">
        <v>1082</v>
      </c>
      <c r="F556" s="244">
        <v>31</v>
      </c>
      <c r="G556" s="246">
        <v>19.350000000000001</v>
      </c>
    </row>
    <row r="557" spans="3:7" ht="22.5" x14ac:dyDescent="0.25">
      <c r="C557" s="245" t="s">
        <v>1198</v>
      </c>
      <c r="D557" s="270" t="s">
        <v>3258</v>
      </c>
      <c r="E557" s="279" t="s">
        <v>1082</v>
      </c>
      <c r="F557" s="244">
        <v>2</v>
      </c>
      <c r="G557" s="246">
        <v>52.69</v>
      </c>
    </row>
    <row r="558" spans="3:7" x14ac:dyDescent="0.25">
      <c r="C558" s="245"/>
      <c r="D558" s="270"/>
      <c r="E558" s="279"/>
      <c r="F558" s="244"/>
      <c r="G558" s="246"/>
    </row>
    <row r="559" spans="3:7" x14ac:dyDescent="0.25">
      <c r="C559" s="245"/>
      <c r="D559" s="270"/>
      <c r="E559" s="279"/>
      <c r="F559" s="244"/>
      <c r="G559" s="246"/>
    </row>
    <row r="560" spans="3:7" x14ac:dyDescent="0.25">
      <c r="C560" s="245"/>
      <c r="D560" s="270"/>
      <c r="E560" s="279"/>
      <c r="F560" s="244"/>
      <c r="G560" s="246"/>
    </row>
    <row r="561" spans="3:9" x14ac:dyDescent="0.25">
      <c r="C561" s="245"/>
      <c r="D561" s="270"/>
      <c r="E561" s="279"/>
      <c r="F561" s="244"/>
      <c r="G561" s="246"/>
    </row>
    <row r="562" spans="3:9" x14ac:dyDescent="0.25">
      <c r="C562" s="245"/>
      <c r="D562" s="270"/>
      <c r="E562" s="279"/>
      <c r="F562" s="244"/>
      <c r="G562" s="246"/>
    </row>
    <row r="563" spans="3:9" x14ac:dyDescent="0.25">
      <c r="C563" s="245"/>
      <c r="D563" s="270"/>
      <c r="E563" s="279"/>
      <c r="F563" s="244"/>
      <c r="G563" s="246"/>
    </row>
    <row r="564" spans="3:9" x14ac:dyDescent="0.25">
      <c r="C564" s="245"/>
      <c r="D564" s="270"/>
      <c r="E564" s="279"/>
      <c r="F564" s="244"/>
      <c r="G564" s="246"/>
    </row>
    <row r="565" spans="3:9" ht="15.6" customHeight="1" x14ac:dyDescent="0.25">
      <c r="C565" s="659"/>
      <c r="D565" s="253" t="s">
        <v>3292</v>
      </c>
      <c r="E565" s="657"/>
      <c r="F565" s="658"/>
      <c r="G565" s="658"/>
    </row>
    <row r="566" spans="3:9" ht="15.6" customHeight="1" x14ac:dyDescent="0.25">
      <c r="C566" s="659"/>
      <c r="D566" s="253" t="s">
        <v>3291</v>
      </c>
      <c r="E566" s="657"/>
      <c r="F566" s="658"/>
      <c r="G566" s="658"/>
    </row>
    <row r="567" spans="3:9" ht="15.6" customHeight="1" x14ac:dyDescent="0.25">
      <c r="C567" s="659"/>
      <c r="D567" s="336" t="s">
        <v>3069</v>
      </c>
      <c r="E567" s="657"/>
      <c r="F567" s="658"/>
      <c r="G567" s="658"/>
    </row>
    <row r="568" spans="3:9" ht="33.75" x14ac:dyDescent="0.25">
      <c r="C568" s="245" t="s">
        <v>1219</v>
      </c>
      <c r="D568" s="270" t="s">
        <v>3185</v>
      </c>
      <c r="E568" s="279" t="s">
        <v>473</v>
      </c>
      <c r="F568" s="244">
        <v>38.020000000000003</v>
      </c>
      <c r="G568" s="246">
        <v>20.059999999999999</v>
      </c>
      <c r="I568" s="157" t="str">
        <f t="shared" ref="I568:I598" si="14">VLOOKUP(C568,$B$9:$G$533,2,FALSE)</f>
        <v>SINAPI</v>
      </c>
    </row>
    <row r="569" spans="3:9" x14ac:dyDescent="0.25">
      <c r="C569" s="245" t="s">
        <v>3114</v>
      </c>
      <c r="D569" s="270" t="s">
        <v>3115</v>
      </c>
      <c r="E569" s="279" t="s">
        <v>1082</v>
      </c>
      <c r="F569" s="244">
        <v>12</v>
      </c>
      <c r="G569" s="246">
        <v>368.97</v>
      </c>
      <c r="I569" s="157" t="str">
        <f t="shared" si="14"/>
        <v>SEINFRA</v>
      </c>
    </row>
    <row r="570" spans="3:9" ht="22.5" x14ac:dyDescent="0.25">
      <c r="C570" s="245" t="s">
        <v>1148</v>
      </c>
      <c r="D570" s="270" t="s">
        <v>3195</v>
      </c>
      <c r="E570" s="279" t="s">
        <v>473</v>
      </c>
      <c r="F570" s="244">
        <v>6</v>
      </c>
      <c r="G570" s="246">
        <v>3</v>
      </c>
      <c r="I570" s="157" t="str">
        <f t="shared" si="14"/>
        <v>SINAPI</v>
      </c>
    </row>
    <row r="571" spans="3:9" x14ac:dyDescent="0.25">
      <c r="C571" s="245" t="s">
        <v>3071</v>
      </c>
      <c r="D571" s="270" t="s">
        <v>3072</v>
      </c>
      <c r="E571" s="279" t="s">
        <v>1082</v>
      </c>
      <c r="F571" s="244">
        <v>112</v>
      </c>
      <c r="G571" s="246">
        <v>195.08</v>
      </c>
      <c r="I571" s="157" t="str">
        <f t="shared" si="14"/>
        <v>SEINFRA</v>
      </c>
    </row>
    <row r="572" spans="3:9" x14ac:dyDescent="0.25">
      <c r="C572" s="245" t="s">
        <v>1240</v>
      </c>
      <c r="D572" s="270" t="s">
        <v>3077</v>
      </c>
      <c r="E572" s="279" t="s">
        <v>1082</v>
      </c>
      <c r="F572" s="244">
        <v>5</v>
      </c>
      <c r="G572" s="246">
        <v>1878.84</v>
      </c>
      <c r="I572" s="157" t="str">
        <f t="shared" si="14"/>
        <v>SEINFRA</v>
      </c>
    </row>
    <row r="573" spans="3:9" x14ac:dyDescent="0.25">
      <c r="C573" s="245" t="s">
        <v>1438</v>
      </c>
      <c r="D573" s="270" t="s">
        <v>1439</v>
      </c>
      <c r="E573" s="279" t="s">
        <v>1082</v>
      </c>
      <c r="F573" s="244">
        <v>2</v>
      </c>
      <c r="G573" s="246">
        <v>34.5</v>
      </c>
      <c r="I573" s="157" t="str">
        <f t="shared" si="14"/>
        <v>FGV</v>
      </c>
    </row>
    <row r="574" spans="3:9" x14ac:dyDescent="0.25">
      <c r="C574" s="245" t="s">
        <v>1426</v>
      </c>
      <c r="D574" s="270" t="s">
        <v>1427</v>
      </c>
      <c r="E574" s="279" t="s">
        <v>1082</v>
      </c>
      <c r="F574" s="244">
        <v>2</v>
      </c>
      <c r="G574" s="246">
        <v>12630.88</v>
      </c>
      <c r="I574" s="157" t="str">
        <f t="shared" si="14"/>
        <v>FGV</v>
      </c>
    </row>
    <row r="575" spans="3:9" x14ac:dyDescent="0.25">
      <c r="C575" s="245" t="s">
        <v>1159</v>
      </c>
      <c r="D575" s="270" t="s">
        <v>3229</v>
      </c>
      <c r="E575" s="279" t="s">
        <v>1082</v>
      </c>
      <c r="F575" s="244">
        <v>2</v>
      </c>
      <c r="G575" s="246">
        <v>3927.44</v>
      </c>
      <c r="I575" s="157" t="str">
        <f t="shared" si="14"/>
        <v>SINAPI</v>
      </c>
    </row>
    <row r="576" spans="3:9" x14ac:dyDescent="0.25">
      <c r="C576" s="245" t="s">
        <v>1384</v>
      </c>
      <c r="D576" s="270" t="s">
        <v>3261</v>
      </c>
      <c r="E576" s="279" t="s">
        <v>1082</v>
      </c>
      <c r="F576" s="244">
        <v>1</v>
      </c>
      <c r="G576" s="246">
        <v>22.74</v>
      </c>
      <c r="I576" s="157" t="str">
        <f t="shared" si="14"/>
        <v>FGV</v>
      </c>
    </row>
    <row r="577" spans="3:9" x14ac:dyDescent="0.25">
      <c r="C577" s="245" t="s">
        <v>1381</v>
      </c>
      <c r="D577" s="270" t="s">
        <v>3260</v>
      </c>
      <c r="E577" s="279" t="s">
        <v>1082</v>
      </c>
      <c r="F577" s="244">
        <v>5</v>
      </c>
      <c r="G577" s="246">
        <v>13.19</v>
      </c>
      <c r="I577" s="157" t="str">
        <f t="shared" si="14"/>
        <v>FGV</v>
      </c>
    </row>
    <row r="578" spans="3:9" x14ac:dyDescent="0.25">
      <c r="C578" s="245" t="s">
        <v>1399</v>
      </c>
      <c r="D578" s="270" t="s">
        <v>3271</v>
      </c>
      <c r="E578" s="279" t="s">
        <v>1082</v>
      </c>
      <c r="F578" s="244">
        <v>2</v>
      </c>
      <c r="G578" s="246">
        <v>12.69</v>
      </c>
      <c r="I578" s="157" t="str">
        <f t="shared" si="14"/>
        <v>FGV</v>
      </c>
    </row>
    <row r="579" spans="3:9" x14ac:dyDescent="0.25">
      <c r="C579" s="245" t="s">
        <v>1396</v>
      </c>
      <c r="D579" s="270" t="s">
        <v>3270</v>
      </c>
      <c r="E579" s="279" t="s">
        <v>1082</v>
      </c>
      <c r="F579" s="244">
        <v>2</v>
      </c>
      <c r="G579" s="246">
        <v>20.170000000000002</v>
      </c>
      <c r="I579" s="157" t="str">
        <f t="shared" si="14"/>
        <v>FGV</v>
      </c>
    </row>
    <row r="580" spans="3:9" x14ac:dyDescent="0.25">
      <c r="C580" s="245" t="s">
        <v>1402</v>
      </c>
      <c r="D580" s="270" t="s">
        <v>3272</v>
      </c>
      <c r="E580" s="279" t="s">
        <v>1082</v>
      </c>
      <c r="F580" s="244">
        <v>2</v>
      </c>
      <c r="G580" s="246">
        <v>98.26</v>
      </c>
      <c r="I580" s="157" t="str">
        <f t="shared" si="14"/>
        <v>FGV</v>
      </c>
    </row>
    <row r="581" spans="3:9" x14ac:dyDescent="0.25">
      <c r="C581" s="245" t="s">
        <v>1080</v>
      </c>
      <c r="D581" s="270" t="s">
        <v>3211</v>
      </c>
      <c r="E581" s="279" t="s">
        <v>1082</v>
      </c>
      <c r="F581" s="244">
        <v>2</v>
      </c>
      <c r="G581" s="246">
        <v>19.940000000000001</v>
      </c>
      <c r="I581" s="157" t="str">
        <f t="shared" si="14"/>
        <v>SINAPI</v>
      </c>
    </row>
    <row r="582" spans="3:9" x14ac:dyDescent="0.25">
      <c r="C582" s="245" t="s">
        <v>1084</v>
      </c>
      <c r="D582" s="270" t="s">
        <v>3238</v>
      </c>
      <c r="E582" s="279" t="s">
        <v>1082</v>
      </c>
      <c r="F582" s="244">
        <v>4</v>
      </c>
      <c r="G582" s="246">
        <v>50.58</v>
      </c>
      <c r="I582" s="157" t="str">
        <f t="shared" si="14"/>
        <v>SINAPI</v>
      </c>
    </row>
    <row r="583" spans="3:9" x14ac:dyDescent="0.25">
      <c r="C583" s="245" t="s">
        <v>1087</v>
      </c>
      <c r="D583" s="270" t="s">
        <v>3197</v>
      </c>
      <c r="E583" s="279" t="s">
        <v>1082</v>
      </c>
      <c r="F583" s="244">
        <v>3</v>
      </c>
      <c r="G583" s="246">
        <v>50.58</v>
      </c>
      <c r="I583" s="157" t="str">
        <f t="shared" si="14"/>
        <v>SINAPI</v>
      </c>
    </row>
    <row r="584" spans="3:9" ht="22.5" x14ac:dyDescent="0.25">
      <c r="C584" s="245" t="s">
        <v>1237</v>
      </c>
      <c r="D584" s="270" t="s">
        <v>3044</v>
      </c>
      <c r="E584" s="279" t="s">
        <v>1082</v>
      </c>
      <c r="F584" s="244">
        <v>18</v>
      </c>
      <c r="G584" s="246">
        <v>466.74</v>
      </c>
      <c r="I584" s="157" t="str">
        <f t="shared" si="14"/>
        <v>SINAPI</v>
      </c>
    </row>
    <row r="585" spans="3:9" ht="22.5" x14ac:dyDescent="0.25">
      <c r="C585" s="245" t="s">
        <v>1348</v>
      </c>
      <c r="D585" s="270" t="s">
        <v>3050</v>
      </c>
      <c r="E585" s="279" t="s">
        <v>1082</v>
      </c>
      <c r="F585" s="244">
        <v>1</v>
      </c>
      <c r="G585" s="246">
        <v>351.84</v>
      </c>
      <c r="I585" s="157" t="str">
        <f t="shared" si="14"/>
        <v>FGV</v>
      </c>
    </row>
    <row r="586" spans="3:9" ht="22.5" x14ac:dyDescent="0.25">
      <c r="C586" s="245" t="s">
        <v>1345</v>
      </c>
      <c r="D586" s="270" t="s">
        <v>3048</v>
      </c>
      <c r="E586" s="279" t="s">
        <v>1082</v>
      </c>
      <c r="F586" s="244">
        <v>2</v>
      </c>
      <c r="G586" s="246">
        <v>662.41</v>
      </c>
      <c r="I586" s="157" t="str">
        <f t="shared" si="14"/>
        <v>FGV</v>
      </c>
    </row>
    <row r="587" spans="3:9" ht="22.5" x14ac:dyDescent="0.25">
      <c r="C587" s="245" t="s">
        <v>1342</v>
      </c>
      <c r="D587" s="270" t="s">
        <v>3046</v>
      </c>
      <c r="E587" s="279" t="s">
        <v>1082</v>
      </c>
      <c r="F587" s="244">
        <v>2</v>
      </c>
      <c r="G587" s="246">
        <v>713.38</v>
      </c>
      <c r="I587" s="157" t="str">
        <f t="shared" si="14"/>
        <v>FGV</v>
      </c>
    </row>
    <row r="588" spans="3:9" x14ac:dyDescent="0.25">
      <c r="C588" s="245" t="s">
        <v>1417</v>
      </c>
      <c r="D588" s="270" t="s">
        <v>3249</v>
      </c>
      <c r="E588" s="279" t="s">
        <v>1082</v>
      </c>
      <c r="F588" s="244">
        <v>2</v>
      </c>
      <c r="G588" s="246">
        <v>71.33</v>
      </c>
      <c r="I588" s="157" t="str">
        <f t="shared" si="14"/>
        <v>SEINFRA</v>
      </c>
    </row>
    <row r="589" spans="3:9" x14ac:dyDescent="0.25">
      <c r="C589" s="245" t="s">
        <v>1243</v>
      </c>
      <c r="D589" s="270" t="s">
        <v>2965</v>
      </c>
      <c r="E589" s="279" t="s">
        <v>1082</v>
      </c>
      <c r="F589" s="244">
        <v>120</v>
      </c>
      <c r="G589" s="246">
        <v>7.54</v>
      </c>
      <c r="I589" s="157" t="str">
        <f t="shared" si="14"/>
        <v>SEINFRA</v>
      </c>
    </row>
    <row r="590" spans="3:9" x14ac:dyDescent="0.25">
      <c r="C590" s="245" t="s">
        <v>1249</v>
      </c>
      <c r="D590" s="270" t="s">
        <v>2967</v>
      </c>
      <c r="E590" s="279" t="s">
        <v>1082</v>
      </c>
      <c r="F590" s="244">
        <v>12</v>
      </c>
      <c r="G590" s="246">
        <v>12.51</v>
      </c>
      <c r="I590" s="157" t="str">
        <f t="shared" si="14"/>
        <v>SEINFRA</v>
      </c>
    </row>
    <row r="591" spans="3:9" x14ac:dyDescent="0.25">
      <c r="C591" s="245" t="s">
        <v>1246</v>
      </c>
      <c r="D591" s="270" t="s">
        <v>3257</v>
      </c>
      <c r="E591" s="279" t="s">
        <v>1082</v>
      </c>
      <c r="F591" s="244">
        <v>9</v>
      </c>
      <c r="G591" s="246">
        <v>24.4</v>
      </c>
      <c r="I591" s="157" t="str">
        <f t="shared" si="14"/>
        <v>SEINFRA</v>
      </c>
    </row>
    <row r="592" spans="3:9" x14ac:dyDescent="0.25">
      <c r="C592" s="245" t="s">
        <v>1154</v>
      </c>
      <c r="D592" s="270" t="s">
        <v>3176</v>
      </c>
      <c r="E592" s="279" t="s">
        <v>1082</v>
      </c>
      <c r="F592" s="244">
        <v>1</v>
      </c>
      <c r="G592" s="246">
        <v>146.16</v>
      </c>
      <c r="I592" s="157" t="str">
        <f t="shared" si="14"/>
        <v>SINAPI</v>
      </c>
    </row>
    <row r="593" spans="3:9" x14ac:dyDescent="0.25">
      <c r="C593" s="245" t="s">
        <v>1375</v>
      </c>
      <c r="D593" s="270" t="s">
        <v>3233</v>
      </c>
      <c r="E593" s="279" t="s">
        <v>1082</v>
      </c>
      <c r="F593" s="244">
        <v>1</v>
      </c>
      <c r="G593" s="246">
        <v>439.19</v>
      </c>
      <c r="I593" s="157" t="str">
        <f t="shared" si="14"/>
        <v>Próprio</v>
      </c>
    </row>
    <row r="594" spans="3:9" ht="22.5" x14ac:dyDescent="0.25">
      <c r="C594" s="245" t="s">
        <v>1216</v>
      </c>
      <c r="D594" s="270" t="s">
        <v>2961</v>
      </c>
      <c r="E594" s="279" t="s">
        <v>473</v>
      </c>
      <c r="F594" s="244">
        <v>4922.83</v>
      </c>
      <c r="G594" s="246">
        <v>7.28</v>
      </c>
      <c r="I594" s="157" t="str">
        <f t="shared" si="14"/>
        <v>SINAPI</v>
      </c>
    </row>
    <row r="595" spans="3:9" x14ac:dyDescent="0.25">
      <c r="C595" s="245" t="s">
        <v>1339</v>
      </c>
      <c r="D595" s="270" t="s">
        <v>3079</v>
      </c>
      <c r="E595" s="279" t="s">
        <v>1082</v>
      </c>
      <c r="F595" s="244">
        <v>107</v>
      </c>
      <c r="G595" s="246">
        <v>87.71</v>
      </c>
      <c r="I595" s="157" t="str">
        <f t="shared" si="14"/>
        <v>SEINFRA</v>
      </c>
    </row>
    <row r="596" spans="3:9" ht="22.5" x14ac:dyDescent="0.25">
      <c r="C596" s="245" t="s">
        <v>3085</v>
      </c>
      <c r="D596" s="270" t="s">
        <v>3086</v>
      </c>
      <c r="E596" s="279" t="s">
        <v>1082</v>
      </c>
      <c r="F596" s="244">
        <v>15</v>
      </c>
      <c r="G596" s="246">
        <v>762.68</v>
      </c>
      <c r="I596" s="157" t="str">
        <f t="shared" si="14"/>
        <v>SEINFRA</v>
      </c>
    </row>
    <row r="597" spans="3:9" ht="22.5" x14ac:dyDescent="0.25">
      <c r="C597" s="245" t="s">
        <v>1411</v>
      </c>
      <c r="D597" s="270" t="s">
        <v>3279</v>
      </c>
      <c r="E597" s="279" t="s">
        <v>1082</v>
      </c>
      <c r="F597" s="244">
        <v>4</v>
      </c>
      <c r="G597" s="246">
        <v>63.26</v>
      </c>
      <c r="I597" s="157" t="str">
        <f t="shared" si="14"/>
        <v>FGV</v>
      </c>
    </row>
    <row r="598" spans="3:9" ht="22.5" x14ac:dyDescent="0.25">
      <c r="C598" s="245" t="s">
        <v>1351</v>
      </c>
      <c r="D598" s="270" t="s">
        <v>3067</v>
      </c>
      <c r="E598" s="279" t="s">
        <v>1082</v>
      </c>
      <c r="F598" s="244">
        <v>2</v>
      </c>
      <c r="G598" s="246">
        <v>70.52</v>
      </c>
      <c r="I598" s="157" t="str">
        <f t="shared" si="14"/>
        <v>FGV</v>
      </c>
    </row>
    <row r="599" spans="3:9" ht="22.5" x14ac:dyDescent="0.25">
      <c r="C599" s="245" t="s">
        <v>1414</v>
      </c>
      <c r="D599" s="270" t="s">
        <v>3278</v>
      </c>
      <c r="E599" s="279" t="s">
        <v>1082</v>
      </c>
      <c r="F599" s="244">
        <v>24</v>
      </c>
      <c r="G599" s="246">
        <v>106.9</v>
      </c>
      <c r="I599" s="157" t="str">
        <f t="shared" ref="I599:I622" si="15">VLOOKUP(C599,$B$9:$G$533,2,FALSE)</f>
        <v>FGV</v>
      </c>
    </row>
    <row r="600" spans="3:9" ht="22.5" x14ac:dyDescent="0.25">
      <c r="C600" s="245" t="s">
        <v>1405</v>
      </c>
      <c r="D600" s="270" t="s">
        <v>3276</v>
      </c>
      <c r="E600" s="279" t="s">
        <v>1082</v>
      </c>
      <c r="F600" s="244">
        <v>2</v>
      </c>
      <c r="G600" s="246">
        <v>454.3</v>
      </c>
      <c r="I600" s="157" t="str">
        <f t="shared" si="15"/>
        <v>FGV</v>
      </c>
    </row>
    <row r="601" spans="3:9" ht="22.5" x14ac:dyDescent="0.25">
      <c r="C601" s="245" t="s">
        <v>1408</v>
      </c>
      <c r="D601" s="270" t="s">
        <v>3277</v>
      </c>
      <c r="E601" s="279" t="s">
        <v>1082</v>
      </c>
      <c r="F601" s="244">
        <v>4</v>
      </c>
      <c r="G601" s="246">
        <v>411.83</v>
      </c>
      <c r="I601" s="157" t="str">
        <f t="shared" si="15"/>
        <v>FGV</v>
      </c>
    </row>
    <row r="602" spans="3:9" x14ac:dyDescent="0.25">
      <c r="C602" s="245" t="s">
        <v>1363</v>
      </c>
      <c r="D602" s="270" t="s">
        <v>3012</v>
      </c>
      <c r="E602" s="279" t="s">
        <v>1082</v>
      </c>
      <c r="F602" s="244">
        <v>20</v>
      </c>
      <c r="G602" s="246">
        <v>34.119999999999997</v>
      </c>
      <c r="I602" s="157" t="str">
        <f t="shared" si="15"/>
        <v>FGV</v>
      </c>
    </row>
    <row r="603" spans="3:9" x14ac:dyDescent="0.25">
      <c r="C603" s="245" t="s">
        <v>1360</v>
      </c>
      <c r="D603" s="270" t="s">
        <v>3010</v>
      </c>
      <c r="E603" s="279" t="s">
        <v>1082</v>
      </c>
      <c r="F603" s="244">
        <v>72</v>
      </c>
      <c r="G603" s="246">
        <v>31.74</v>
      </c>
      <c r="I603" s="157" t="str">
        <f t="shared" si="15"/>
        <v>FGV</v>
      </c>
    </row>
    <row r="604" spans="3:9" x14ac:dyDescent="0.25">
      <c r="C604" s="245" t="s">
        <v>1090</v>
      </c>
      <c r="D604" s="270" t="s">
        <v>3221</v>
      </c>
      <c r="E604" s="279" t="s">
        <v>1082</v>
      </c>
      <c r="F604" s="244">
        <v>5</v>
      </c>
      <c r="G604" s="246">
        <v>59.82</v>
      </c>
      <c r="I604" s="157" t="str">
        <f t="shared" si="15"/>
        <v>SINAPI</v>
      </c>
    </row>
    <row r="605" spans="3:9" x14ac:dyDescent="0.25">
      <c r="C605" s="245" t="s">
        <v>1093</v>
      </c>
      <c r="D605" s="270" t="s">
        <v>3199</v>
      </c>
      <c r="E605" s="279" t="s">
        <v>1082</v>
      </c>
      <c r="F605" s="244">
        <v>2</v>
      </c>
      <c r="G605" s="246">
        <v>114.19</v>
      </c>
      <c r="I605" s="157" t="str">
        <f t="shared" si="15"/>
        <v>SINAPI</v>
      </c>
    </row>
    <row r="606" spans="3:9" x14ac:dyDescent="0.25">
      <c r="C606" s="245" t="s">
        <v>3273</v>
      </c>
      <c r="D606" s="270" t="s">
        <v>3274</v>
      </c>
      <c r="E606" s="279" t="s">
        <v>1082</v>
      </c>
      <c r="F606" s="244">
        <v>2</v>
      </c>
      <c r="G606" s="246">
        <v>140.1</v>
      </c>
      <c r="I606" s="157" t="str">
        <f t="shared" si="15"/>
        <v>SINAPI</v>
      </c>
    </row>
    <row r="607" spans="3:9" x14ac:dyDescent="0.25">
      <c r="C607" s="245" t="s">
        <v>1138</v>
      </c>
      <c r="D607" s="270" t="s">
        <v>3246</v>
      </c>
      <c r="E607" s="279" t="s">
        <v>1082</v>
      </c>
      <c r="F607" s="244">
        <v>6</v>
      </c>
      <c r="G607" s="246">
        <v>130.66999999999999</v>
      </c>
      <c r="I607" s="157" t="str">
        <f t="shared" si="15"/>
        <v>SINAPI</v>
      </c>
    </row>
    <row r="608" spans="3:9" ht="22.5" x14ac:dyDescent="0.25">
      <c r="C608" s="245" t="s">
        <v>1225</v>
      </c>
      <c r="D608" s="270" t="s">
        <v>3052</v>
      </c>
      <c r="E608" s="279" t="s">
        <v>1082</v>
      </c>
      <c r="F608" s="244">
        <v>118</v>
      </c>
      <c r="G608" s="246">
        <v>12.13</v>
      </c>
      <c r="I608" s="157" t="str">
        <f t="shared" si="15"/>
        <v>SINAPI</v>
      </c>
    </row>
    <row r="609" spans="3:9" ht="22.5" x14ac:dyDescent="0.25">
      <c r="C609" s="245" t="s">
        <v>1228</v>
      </c>
      <c r="D609" s="270" t="s">
        <v>3054</v>
      </c>
      <c r="E609" s="279" t="s">
        <v>1082</v>
      </c>
      <c r="F609" s="244">
        <v>14</v>
      </c>
      <c r="G609" s="246">
        <v>17.670000000000002</v>
      </c>
      <c r="I609" s="157" t="str">
        <f t="shared" si="15"/>
        <v>SINAPI</v>
      </c>
    </row>
    <row r="610" spans="3:9" ht="22.5" x14ac:dyDescent="0.25">
      <c r="C610" s="245" t="s">
        <v>1222</v>
      </c>
      <c r="D610" s="270" t="s">
        <v>3056</v>
      </c>
      <c r="E610" s="279" t="s">
        <v>1082</v>
      </c>
      <c r="F610" s="244">
        <v>4</v>
      </c>
      <c r="G610" s="246">
        <v>30.91</v>
      </c>
      <c r="I610" s="157" t="str">
        <f t="shared" si="15"/>
        <v>SINAPI</v>
      </c>
    </row>
    <row r="611" spans="3:9" x14ac:dyDescent="0.25">
      <c r="C611" s="245" t="s">
        <v>1252</v>
      </c>
      <c r="D611" s="270" t="s">
        <v>2969</v>
      </c>
      <c r="E611" s="279" t="s">
        <v>1082</v>
      </c>
      <c r="F611" s="244">
        <v>1</v>
      </c>
      <c r="G611" s="246">
        <v>27.27</v>
      </c>
      <c r="I611" s="157" t="str">
        <f t="shared" si="15"/>
        <v>SEINFRA</v>
      </c>
    </row>
    <row r="612" spans="3:9" ht="22.5" x14ac:dyDescent="0.25">
      <c r="C612" s="245" t="s">
        <v>1231</v>
      </c>
      <c r="D612" s="270" t="s">
        <v>3108</v>
      </c>
      <c r="E612" s="279" t="s">
        <v>1082</v>
      </c>
      <c r="F612" s="244">
        <v>8</v>
      </c>
      <c r="G612" s="246">
        <v>12.02</v>
      </c>
      <c r="I612" s="157" t="str">
        <f t="shared" si="15"/>
        <v>SINAPI</v>
      </c>
    </row>
    <row r="613" spans="3:9" ht="22.5" x14ac:dyDescent="0.25">
      <c r="C613" s="245" t="s">
        <v>1234</v>
      </c>
      <c r="D613" s="270" t="s">
        <v>3280</v>
      </c>
      <c r="E613" s="279" t="s">
        <v>1082</v>
      </c>
      <c r="F613" s="244">
        <v>32</v>
      </c>
      <c r="G613" s="246">
        <v>15.65</v>
      </c>
      <c r="I613" s="157" t="str">
        <f t="shared" si="15"/>
        <v>SINAPI</v>
      </c>
    </row>
    <row r="614" spans="3:9" x14ac:dyDescent="0.25">
      <c r="C614" s="245" t="s">
        <v>1255</v>
      </c>
      <c r="D614" s="270" t="s">
        <v>3083</v>
      </c>
      <c r="E614" s="279" t="s">
        <v>1082</v>
      </c>
      <c r="F614" s="244">
        <v>108</v>
      </c>
      <c r="G614" s="246">
        <v>58.28</v>
      </c>
      <c r="I614" s="157" t="str">
        <f t="shared" si="15"/>
        <v>SEINFRA</v>
      </c>
    </row>
    <row r="615" spans="3:9" x14ac:dyDescent="0.25">
      <c r="C615" s="245" t="s">
        <v>1258</v>
      </c>
      <c r="D615" s="270" t="s">
        <v>3088</v>
      </c>
      <c r="E615" s="279" t="s">
        <v>1082</v>
      </c>
      <c r="F615" s="244">
        <v>24</v>
      </c>
      <c r="G615" s="246">
        <v>182.59</v>
      </c>
      <c r="I615" s="157" t="str">
        <f t="shared" si="15"/>
        <v>SEINFRA</v>
      </c>
    </row>
    <row r="616" spans="3:9" x14ac:dyDescent="0.25">
      <c r="C616" s="245" t="s">
        <v>1435</v>
      </c>
      <c r="D616" s="270" t="s">
        <v>1436</v>
      </c>
      <c r="E616" s="279" t="s">
        <v>1082</v>
      </c>
      <c r="F616" s="244">
        <v>1</v>
      </c>
      <c r="G616" s="246">
        <v>414.75</v>
      </c>
      <c r="I616" s="157" t="str">
        <f t="shared" si="15"/>
        <v>Próprio</v>
      </c>
    </row>
    <row r="617" spans="3:9" x14ac:dyDescent="0.25">
      <c r="C617" s="245" t="s">
        <v>1429</v>
      </c>
      <c r="D617" s="270" t="s">
        <v>1430</v>
      </c>
      <c r="E617" s="279" t="s">
        <v>1082</v>
      </c>
      <c r="F617" s="244">
        <v>3</v>
      </c>
      <c r="G617" s="246">
        <v>143.72</v>
      </c>
      <c r="I617" s="157" t="str">
        <f t="shared" si="15"/>
        <v>FGV</v>
      </c>
    </row>
    <row r="618" spans="3:9" x14ac:dyDescent="0.25">
      <c r="C618" s="245" t="s">
        <v>1261</v>
      </c>
      <c r="D618" s="270" t="s">
        <v>3103</v>
      </c>
      <c r="E618" s="279" t="s">
        <v>1082</v>
      </c>
      <c r="F618" s="244">
        <v>1</v>
      </c>
      <c r="G618" s="246">
        <v>26.19</v>
      </c>
      <c r="I618" s="157" t="str">
        <f t="shared" si="15"/>
        <v>SEINFRA</v>
      </c>
    </row>
    <row r="619" spans="3:9" x14ac:dyDescent="0.25">
      <c r="C619" s="245" t="s">
        <v>1264</v>
      </c>
      <c r="D619" s="270" t="s">
        <v>3262</v>
      </c>
      <c r="E619" s="279" t="s">
        <v>1082</v>
      </c>
      <c r="F619" s="244">
        <v>1</v>
      </c>
      <c r="G619" s="246">
        <v>121.83</v>
      </c>
      <c r="I619" s="157" t="str">
        <f t="shared" si="15"/>
        <v>SEINFRA</v>
      </c>
    </row>
    <row r="620" spans="3:9" x14ac:dyDescent="0.25">
      <c r="C620" s="245" t="s">
        <v>1096</v>
      </c>
      <c r="D620" s="270" t="s">
        <v>3183</v>
      </c>
      <c r="E620" s="279" t="s">
        <v>1082</v>
      </c>
      <c r="F620" s="244">
        <v>4</v>
      </c>
      <c r="G620" s="246">
        <v>2.87</v>
      </c>
      <c r="I620" s="157" t="str">
        <f t="shared" si="15"/>
        <v>SINAPI</v>
      </c>
    </row>
    <row r="621" spans="3:9" ht="33.75" x14ac:dyDescent="0.25">
      <c r="C621" s="245" t="s">
        <v>1204</v>
      </c>
      <c r="D621" s="270" t="s">
        <v>3081</v>
      </c>
      <c r="E621" s="279" t="s">
        <v>1082</v>
      </c>
      <c r="F621" s="244">
        <v>106</v>
      </c>
      <c r="G621" s="246">
        <v>184.57</v>
      </c>
      <c r="I621" s="157" t="str">
        <f t="shared" si="15"/>
        <v>SINAPI</v>
      </c>
    </row>
    <row r="622" spans="3:9" ht="45" x14ac:dyDescent="0.25">
      <c r="C622" s="245" t="s">
        <v>3090</v>
      </c>
      <c r="D622" s="270" t="s">
        <v>3091</v>
      </c>
      <c r="E622" s="279" t="s">
        <v>1082</v>
      </c>
      <c r="F622" s="244">
        <v>342</v>
      </c>
      <c r="G622" s="246">
        <v>399.47</v>
      </c>
      <c r="I622" s="157" t="str">
        <f t="shared" si="15"/>
        <v>SINAPI</v>
      </c>
    </row>
    <row r="623" spans="3:9" ht="22.5" x14ac:dyDescent="0.25">
      <c r="C623" s="245" t="s">
        <v>1174</v>
      </c>
      <c r="D623" s="270" t="s">
        <v>2983</v>
      </c>
      <c r="E623" s="279" t="s">
        <v>1082</v>
      </c>
      <c r="F623" s="244">
        <v>18</v>
      </c>
      <c r="G623" s="246">
        <v>7.15</v>
      </c>
      <c r="I623" s="157" t="str">
        <f t="shared" ref="I623:I686" si="16">VLOOKUP(C623,$B$9:$G$533,2,FALSE)</f>
        <v>SINAPI</v>
      </c>
    </row>
    <row r="624" spans="3:9" ht="22.5" x14ac:dyDescent="0.25">
      <c r="C624" s="245" t="s">
        <v>1171</v>
      </c>
      <c r="D624" s="270" t="s">
        <v>2985</v>
      </c>
      <c r="E624" s="279" t="s">
        <v>1082</v>
      </c>
      <c r="F624" s="244">
        <v>9</v>
      </c>
      <c r="G624" s="246">
        <v>10.06</v>
      </c>
      <c r="I624" s="157" t="str">
        <f t="shared" si="16"/>
        <v>SINAPI</v>
      </c>
    </row>
    <row r="625" spans="3:9" x14ac:dyDescent="0.25">
      <c r="C625" s="245" t="s">
        <v>1267</v>
      </c>
      <c r="D625" s="270" t="s">
        <v>3118</v>
      </c>
      <c r="E625" s="279" t="s">
        <v>1082</v>
      </c>
      <c r="F625" s="244">
        <v>2</v>
      </c>
      <c r="G625" s="246">
        <v>5.91</v>
      </c>
      <c r="I625" s="157" t="str">
        <f t="shared" si="16"/>
        <v>SEINFRA</v>
      </c>
    </row>
    <row r="626" spans="3:9" ht="33.75" x14ac:dyDescent="0.25">
      <c r="C626" s="245" t="s">
        <v>3119</v>
      </c>
      <c r="D626" s="270" t="s">
        <v>3120</v>
      </c>
      <c r="E626" s="279" t="s">
        <v>1082</v>
      </c>
      <c r="F626" s="244">
        <v>4</v>
      </c>
      <c r="G626" s="246">
        <v>376.24</v>
      </c>
      <c r="I626" s="157" t="str">
        <f t="shared" si="16"/>
        <v>SINAPI</v>
      </c>
    </row>
    <row r="627" spans="3:9" x14ac:dyDescent="0.25">
      <c r="C627" s="245" t="s">
        <v>1336</v>
      </c>
      <c r="D627" s="270" t="s">
        <v>3254</v>
      </c>
      <c r="E627" s="279" t="s">
        <v>1082</v>
      </c>
      <c r="F627" s="244">
        <v>1</v>
      </c>
      <c r="G627" s="246">
        <v>8976.48</v>
      </c>
      <c r="I627" s="157" t="str">
        <f t="shared" si="16"/>
        <v>SEINFRA</v>
      </c>
    </row>
    <row r="628" spans="3:9" x14ac:dyDescent="0.25">
      <c r="C628" s="245" t="s">
        <v>1333</v>
      </c>
      <c r="D628" s="270" t="s">
        <v>3207</v>
      </c>
      <c r="E628" s="279" t="s">
        <v>1082</v>
      </c>
      <c r="F628" s="244">
        <v>1</v>
      </c>
      <c r="G628" s="246">
        <v>1795.3</v>
      </c>
      <c r="I628" s="157" t="str">
        <f t="shared" si="16"/>
        <v>SEINFRA</v>
      </c>
    </row>
    <row r="629" spans="3:9" x14ac:dyDescent="0.25">
      <c r="C629" s="245" t="s">
        <v>1378</v>
      </c>
      <c r="D629" s="270" t="s">
        <v>3225</v>
      </c>
      <c r="E629" s="279" t="s">
        <v>1082</v>
      </c>
      <c r="F629" s="244">
        <v>1</v>
      </c>
      <c r="G629" s="246">
        <v>6539.84</v>
      </c>
      <c r="I629" s="157" t="str">
        <f t="shared" si="16"/>
        <v>Próprio</v>
      </c>
    </row>
    <row r="630" spans="3:9" x14ac:dyDescent="0.25">
      <c r="C630" s="245" t="s">
        <v>3093</v>
      </c>
      <c r="D630" s="270" t="s">
        <v>3094</v>
      </c>
      <c r="E630" s="279" t="s">
        <v>1082</v>
      </c>
      <c r="F630" s="244">
        <v>69</v>
      </c>
      <c r="G630" s="246">
        <v>697.79</v>
      </c>
      <c r="I630" s="157" t="str">
        <f t="shared" si="16"/>
        <v>SEINFRA</v>
      </c>
    </row>
    <row r="631" spans="3:9" x14ac:dyDescent="0.25">
      <c r="C631" s="245" t="s">
        <v>1270</v>
      </c>
      <c r="D631" s="270" t="s">
        <v>3231</v>
      </c>
      <c r="E631" s="279" t="s">
        <v>1082</v>
      </c>
      <c r="F631" s="244">
        <v>1</v>
      </c>
      <c r="G631" s="246">
        <v>269.43</v>
      </c>
      <c r="I631" s="157" t="str">
        <f t="shared" si="16"/>
        <v>SEINFRA</v>
      </c>
    </row>
    <row r="632" spans="3:9" ht="22.5" x14ac:dyDescent="0.25">
      <c r="C632" s="245" t="s">
        <v>1213</v>
      </c>
      <c r="D632" s="270" t="s">
        <v>2959</v>
      </c>
      <c r="E632" s="279" t="s">
        <v>473</v>
      </c>
      <c r="F632" s="244">
        <v>4922.83</v>
      </c>
      <c r="G632" s="246">
        <v>7.23</v>
      </c>
      <c r="I632" s="157" t="str">
        <f t="shared" si="16"/>
        <v>SINAPI</v>
      </c>
    </row>
    <row r="633" spans="3:9" x14ac:dyDescent="0.25">
      <c r="C633" s="245" t="s">
        <v>1273</v>
      </c>
      <c r="D633" s="270" t="s">
        <v>2990</v>
      </c>
      <c r="E633" s="279" t="s">
        <v>1082</v>
      </c>
      <c r="F633" s="244">
        <v>29</v>
      </c>
      <c r="G633" s="246">
        <v>108.52</v>
      </c>
      <c r="I633" s="157" t="str">
        <f t="shared" si="16"/>
        <v>SEINFRA</v>
      </c>
    </row>
    <row r="634" spans="3:9" ht="22.5" x14ac:dyDescent="0.25">
      <c r="C634" s="245" t="s">
        <v>1210</v>
      </c>
      <c r="D634" s="270" t="s">
        <v>3058</v>
      </c>
      <c r="E634" s="279" t="s">
        <v>1082</v>
      </c>
      <c r="F634" s="244">
        <v>128</v>
      </c>
      <c r="G634" s="246">
        <v>50.84</v>
      </c>
      <c r="I634" s="157" t="str">
        <f t="shared" si="16"/>
        <v>SINAPI</v>
      </c>
    </row>
    <row r="635" spans="3:9" x14ac:dyDescent="0.25">
      <c r="C635" s="245" t="s">
        <v>1276</v>
      </c>
      <c r="D635" s="270" t="s">
        <v>3168</v>
      </c>
      <c r="E635" s="279" t="s">
        <v>1082</v>
      </c>
      <c r="F635" s="244">
        <v>2</v>
      </c>
      <c r="G635" s="246">
        <v>141.94999999999999</v>
      </c>
      <c r="I635" s="157" t="str">
        <f t="shared" si="16"/>
        <v>SEINFRA</v>
      </c>
    </row>
    <row r="636" spans="3:9" x14ac:dyDescent="0.25">
      <c r="C636" s="245" t="s">
        <v>2987</v>
      </c>
      <c r="D636" s="270" t="s">
        <v>2988</v>
      </c>
      <c r="E636" s="279" t="s">
        <v>1082</v>
      </c>
      <c r="F636" s="244">
        <v>292</v>
      </c>
      <c r="G636" s="246">
        <v>72.569999999999993</v>
      </c>
      <c r="I636" s="157" t="str">
        <f t="shared" si="16"/>
        <v>SINAPI</v>
      </c>
    </row>
    <row r="637" spans="3:9" ht="22.5" x14ac:dyDescent="0.25">
      <c r="C637" s="245" t="s">
        <v>1207</v>
      </c>
      <c r="D637" s="270" t="s">
        <v>3008</v>
      </c>
      <c r="E637" s="279" t="s">
        <v>1082</v>
      </c>
      <c r="F637" s="244">
        <v>242</v>
      </c>
      <c r="G637" s="246">
        <v>48.35</v>
      </c>
      <c r="I637" s="157" t="str">
        <f t="shared" si="16"/>
        <v>SINAPI</v>
      </c>
    </row>
    <row r="638" spans="3:9" x14ac:dyDescent="0.25">
      <c r="C638" s="245" t="s">
        <v>3104</v>
      </c>
      <c r="D638" s="270" t="s">
        <v>3105</v>
      </c>
      <c r="E638" s="279" t="s">
        <v>1082</v>
      </c>
      <c r="F638" s="244">
        <v>1</v>
      </c>
      <c r="G638" s="246">
        <v>90.38</v>
      </c>
      <c r="I638" s="157" t="str">
        <f t="shared" si="16"/>
        <v>SINAPI</v>
      </c>
    </row>
    <row r="639" spans="3:9" x14ac:dyDescent="0.25">
      <c r="C639" s="245" t="s">
        <v>1099</v>
      </c>
      <c r="D639" s="270" t="s">
        <v>3181</v>
      </c>
      <c r="E639" s="279" t="s">
        <v>1082</v>
      </c>
      <c r="F639" s="244">
        <v>1</v>
      </c>
      <c r="G639" s="246">
        <v>48.74</v>
      </c>
      <c r="I639" s="157" t="str">
        <f t="shared" si="16"/>
        <v>SINAPI</v>
      </c>
    </row>
    <row r="640" spans="3:9" x14ac:dyDescent="0.25">
      <c r="C640" s="245" t="s">
        <v>1111</v>
      </c>
      <c r="D640" s="270" t="s">
        <v>3241</v>
      </c>
      <c r="E640" s="279" t="s">
        <v>1082</v>
      </c>
      <c r="F640" s="244">
        <v>2</v>
      </c>
      <c r="G640" s="246">
        <v>67.88</v>
      </c>
      <c r="I640" s="157" t="str">
        <f t="shared" si="16"/>
        <v>SINAPI</v>
      </c>
    </row>
    <row r="641" spans="3:9" x14ac:dyDescent="0.25">
      <c r="C641" s="245" t="s">
        <v>1102</v>
      </c>
      <c r="D641" s="270" t="s">
        <v>3243</v>
      </c>
      <c r="E641" s="279" t="s">
        <v>1082</v>
      </c>
      <c r="F641" s="244">
        <v>7</v>
      </c>
      <c r="G641" s="246">
        <v>140.79</v>
      </c>
      <c r="I641" s="157" t="str">
        <f t="shared" si="16"/>
        <v>SINAPI</v>
      </c>
    </row>
    <row r="642" spans="3:9" x14ac:dyDescent="0.25">
      <c r="C642" s="245" t="s">
        <v>1105</v>
      </c>
      <c r="D642" s="270" t="s">
        <v>3217</v>
      </c>
      <c r="E642" s="279" t="s">
        <v>1082</v>
      </c>
      <c r="F642" s="244">
        <v>2</v>
      </c>
      <c r="G642" s="246">
        <v>260.33</v>
      </c>
      <c r="I642" s="157" t="str">
        <f t="shared" si="16"/>
        <v>SINAPI</v>
      </c>
    </row>
    <row r="643" spans="3:9" x14ac:dyDescent="0.25">
      <c r="C643" s="245" t="s">
        <v>1108</v>
      </c>
      <c r="D643" s="270" t="s">
        <v>3203</v>
      </c>
      <c r="E643" s="279" t="s">
        <v>1082</v>
      </c>
      <c r="F643" s="244">
        <v>4</v>
      </c>
      <c r="G643" s="246">
        <v>443.63</v>
      </c>
      <c r="I643" s="157" t="str">
        <f t="shared" si="16"/>
        <v>SINAPI</v>
      </c>
    </row>
    <row r="644" spans="3:9" x14ac:dyDescent="0.25">
      <c r="C644" s="245" t="s">
        <v>1330</v>
      </c>
      <c r="D644" s="270" t="s">
        <v>3178</v>
      </c>
      <c r="E644" s="279" t="s">
        <v>1082</v>
      </c>
      <c r="F644" s="244">
        <v>1</v>
      </c>
      <c r="G644" s="246">
        <v>11.53</v>
      </c>
      <c r="I644" s="157" t="str">
        <f t="shared" si="16"/>
        <v>SEINFRA</v>
      </c>
    </row>
    <row r="645" spans="3:9" x14ac:dyDescent="0.25">
      <c r="C645" s="245" t="s">
        <v>3111</v>
      </c>
      <c r="D645" s="270" t="s">
        <v>3112</v>
      </c>
      <c r="E645" s="279" t="s">
        <v>1082</v>
      </c>
      <c r="F645" s="244">
        <v>2</v>
      </c>
      <c r="G645" s="246">
        <v>482.33</v>
      </c>
      <c r="I645" s="157" t="str">
        <f t="shared" si="16"/>
        <v>SEINFRA</v>
      </c>
    </row>
    <row r="646" spans="3:9" ht="33.75" x14ac:dyDescent="0.25">
      <c r="C646" s="245" t="s">
        <v>3096</v>
      </c>
      <c r="D646" s="270" t="s">
        <v>3097</v>
      </c>
      <c r="E646" s="279" t="s">
        <v>1082</v>
      </c>
      <c r="F646" s="244">
        <v>21</v>
      </c>
      <c r="G646" s="246">
        <v>509.25</v>
      </c>
      <c r="I646" s="157" t="str">
        <f t="shared" si="16"/>
        <v>SINAPI</v>
      </c>
    </row>
    <row r="647" spans="3:9" x14ac:dyDescent="0.25">
      <c r="C647" s="245" t="s">
        <v>1279</v>
      </c>
      <c r="D647" s="270" t="s">
        <v>3061</v>
      </c>
      <c r="E647" s="279" t="s">
        <v>1082</v>
      </c>
      <c r="F647" s="244">
        <v>133</v>
      </c>
      <c r="G647" s="246">
        <v>12.15</v>
      </c>
      <c r="I647" s="157" t="str">
        <f t="shared" si="16"/>
        <v>SEINFRA</v>
      </c>
    </row>
    <row r="648" spans="3:9" x14ac:dyDescent="0.25">
      <c r="C648" s="245" t="s">
        <v>1282</v>
      </c>
      <c r="D648" s="270" t="s">
        <v>3063</v>
      </c>
      <c r="E648" s="279" t="s">
        <v>1082</v>
      </c>
      <c r="F648" s="244">
        <v>11</v>
      </c>
      <c r="G648" s="246">
        <v>16.809999999999999</v>
      </c>
      <c r="I648" s="157" t="str">
        <f t="shared" si="16"/>
        <v>SEINFRA</v>
      </c>
    </row>
    <row r="649" spans="3:9" x14ac:dyDescent="0.25">
      <c r="C649" s="245" t="s">
        <v>1285</v>
      </c>
      <c r="D649" s="270" t="s">
        <v>3065</v>
      </c>
      <c r="E649" s="279" t="s">
        <v>1082</v>
      </c>
      <c r="F649" s="244">
        <v>2</v>
      </c>
      <c r="G649" s="246">
        <v>35.31</v>
      </c>
      <c r="I649" s="157" t="str">
        <f t="shared" si="16"/>
        <v>SEINFRA</v>
      </c>
    </row>
    <row r="650" spans="3:9" x14ac:dyDescent="0.25">
      <c r="C650" s="245" t="s">
        <v>1288</v>
      </c>
      <c r="D650" s="270" t="s">
        <v>3169</v>
      </c>
      <c r="E650" s="279" t="s">
        <v>1082</v>
      </c>
      <c r="F650" s="244">
        <v>1</v>
      </c>
      <c r="G650" s="246">
        <v>43.45</v>
      </c>
      <c r="I650" s="157" t="str">
        <f t="shared" si="16"/>
        <v>SEINFRA</v>
      </c>
    </row>
    <row r="651" spans="3:9" x14ac:dyDescent="0.25">
      <c r="C651" s="245" t="s">
        <v>1369</v>
      </c>
      <c r="D651" s="270" t="s">
        <v>3109</v>
      </c>
      <c r="E651" s="279" t="s">
        <v>1082</v>
      </c>
      <c r="F651" s="244">
        <v>9</v>
      </c>
      <c r="G651" s="246">
        <v>29.73</v>
      </c>
      <c r="I651" s="157" t="str">
        <f t="shared" si="16"/>
        <v>FGV</v>
      </c>
    </row>
    <row r="652" spans="3:9" x14ac:dyDescent="0.25">
      <c r="C652" s="245" t="s">
        <v>1387</v>
      </c>
      <c r="D652" s="270" t="s">
        <v>3265</v>
      </c>
      <c r="E652" s="279" t="s">
        <v>1082</v>
      </c>
      <c r="F652" s="244">
        <v>3</v>
      </c>
      <c r="G652" s="246">
        <v>97.92</v>
      </c>
      <c r="I652" s="157" t="str">
        <f t="shared" si="16"/>
        <v>FGV</v>
      </c>
    </row>
    <row r="653" spans="3:9" ht="22.5" x14ac:dyDescent="0.25">
      <c r="C653" s="245" t="s">
        <v>1201</v>
      </c>
      <c r="D653" s="270" t="s">
        <v>3000</v>
      </c>
      <c r="E653" s="279" t="s">
        <v>1082</v>
      </c>
      <c r="F653" s="244">
        <v>88</v>
      </c>
      <c r="G653" s="246">
        <v>12.04</v>
      </c>
      <c r="I653" s="157" t="str">
        <f t="shared" si="16"/>
        <v>SINAPI</v>
      </c>
    </row>
    <row r="654" spans="3:9" x14ac:dyDescent="0.25">
      <c r="C654" s="245" t="s">
        <v>1390</v>
      </c>
      <c r="D654" s="270" t="s">
        <v>3267</v>
      </c>
      <c r="E654" s="279" t="s">
        <v>1082</v>
      </c>
      <c r="F654" s="244">
        <v>6</v>
      </c>
      <c r="G654" s="246">
        <v>37.29</v>
      </c>
      <c r="I654" s="157" t="str">
        <f t="shared" si="16"/>
        <v>FGV</v>
      </c>
    </row>
    <row r="655" spans="3:9" x14ac:dyDescent="0.25">
      <c r="C655" s="245" t="s">
        <v>1393</v>
      </c>
      <c r="D655" s="270" t="s">
        <v>3266</v>
      </c>
      <c r="E655" s="279" t="s">
        <v>1082</v>
      </c>
      <c r="F655" s="244">
        <v>11</v>
      </c>
      <c r="G655" s="246">
        <v>60.21</v>
      </c>
      <c r="I655" s="157" t="str">
        <f t="shared" si="16"/>
        <v>FGV</v>
      </c>
    </row>
    <row r="656" spans="3:9" x14ac:dyDescent="0.25">
      <c r="C656" s="245" t="s">
        <v>1117</v>
      </c>
      <c r="D656" s="270" t="s">
        <v>3219</v>
      </c>
      <c r="E656" s="279" t="s">
        <v>1082</v>
      </c>
      <c r="F656" s="244">
        <v>1</v>
      </c>
      <c r="G656" s="246">
        <v>75.08</v>
      </c>
      <c r="I656" s="157" t="str">
        <f t="shared" si="16"/>
        <v>SINAPI</v>
      </c>
    </row>
    <row r="657" spans="3:9" x14ac:dyDescent="0.25">
      <c r="C657" s="245" t="s">
        <v>1114</v>
      </c>
      <c r="D657" s="270" t="s">
        <v>3201</v>
      </c>
      <c r="E657" s="279" t="s">
        <v>1082</v>
      </c>
      <c r="F657" s="244">
        <v>5</v>
      </c>
      <c r="G657" s="246">
        <v>142.99</v>
      </c>
      <c r="I657" s="157" t="str">
        <f t="shared" si="16"/>
        <v>SINAPI</v>
      </c>
    </row>
    <row r="658" spans="3:9" x14ac:dyDescent="0.25">
      <c r="C658" s="245" t="s">
        <v>1432</v>
      </c>
      <c r="D658" s="270" t="s">
        <v>1433</v>
      </c>
      <c r="E658" s="279" t="s">
        <v>1082</v>
      </c>
      <c r="F658" s="244">
        <v>2</v>
      </c>
      <c r="G658" s="246">
        <v>72.819999999999993</v>
      </c>
      <c r="I658" s="157" t="str">
        <f t="shared" si="16"/>
        <v>FGV</v>
      </c>
    </row>
    <row r="659" spans="3:9" x14ac:dyDescent="0.25">
      <c r="C659" s="245" t="s">
        <v>1291</v>
      </c>
      <c r="D659" s="270" t="s">
        <v>2998</v>
      </c>
      <c r="E659" s="279" t="s">
        <v>1082</v>
      </c>
      <c r="F659" s="244">
        <v>160</v>
      </c>
      <c r="G659" s="246">
        <v>5.99</v>
      </c>
      <c r="I659" s="157" t="str">
        <f t="shared" si="16"/>
        <v>SEINFRA</v>
      </c>
    </row>
    <row r="660" spans="3:9" x14ac:dyDescent="0.25">
      <c r="C660" s="245" t="s">
        <v>1294</v>
      </c>
      <c r="D660" s="270" t="s">
        <v>2994</v>
      </c>
      <c r="E660" s="279" t="s">
        <v>1082</v>
      </c>
      <c r="F660" s="244">
        <v>127</v>
      </c>
      <c r="G660" s="246">
        <v>14.53</v>
      </c>
      <c r="I660" s="157" t="str">
        <f t="shared" si="16"/>
        <v>SEINFRA</v>
      </c>
    </row>
    <row r="661" spans="3:9" x14ac:dyDescent="0.25">
      <c r="C661" s="245" t="s">
        <v>1297</v>
      </c>
      <c r="D661" s="270" t="s">
        <v>2996</v>
      </c>
      <c r="E661" s="279" t="s">
        <v>1082</v>
      </c>
      <c r="F661" s="244">
        <v>21</v>
      </c>
      <c r="G661" s="246">
        <v>28.96</v>
      </c>
      <c r="I661" s="157" t="str">
        <f t="shared" si="16"/>
        <v>SEINFRA</v>
      </c>
    </row>
    <row r="662" spans="3:9" ht="22.5" x14ac:dyDescent="0.25">
      <c r="C662" s="245" t="s">
        <v>1372</v>
      </c>
      <c r="D662" s="270" t="s">
        <v>2992</v>
      </c>
      <c r="E662" s="279" t="s">
        <v>1082</v>
      </c>
      <c r="F662" s="244">
        <v>191</v>
      </c>
      <c r="G662" s="246">
        <v>13.43</v>
      </c>
      <c r="I662" s="157" t="str">
        <f t="shared" si="16"/>
        <v>FGV</v>
      </c>
    </row>
    <row r="663" spans="3:9" ht="22.5" x14ac:dyDescent="0.25">
      <c r="C663" s="245" t="s">
        <v>3099</v>
      </c>
      <c r="D663" s="270" t="s">
        <v>3100</v>
      </c>
      <c r="E663" s="279" t="s">
        <v>1082</v>
      </c>
      <c r="F663" s="244">
        <v>71</v>
      </c>
      <c r="G663" s="246">
        <v>65.760000000000005</v>
      </c>
      <c r="I663" s="157" t="str">
        <f t="shared" si="16"/>
        <v>SINAPI</v>
      </c>
    </row>
    <row r="664" spans="3:9" x14ac:dyDescent="0.25">
      <c r="C664" s="245" t="s">
        <v>1135</v>
      </c>
      <c r="D664" s="270" t="s">
        <v>3187</v>
      </c>
      <c r="E664" s="279" t="s">
        <v>1082</v>
      </c>
      <c r="F664" s="244">
        <v>1</v>
      </c>
      <c r="G664" s="246">
        <v>87.21</v>
      </c>
      <c r="I664" s="157" t="str">
        <f t="shared" si="16"/>
        <v>SINAPI</v>
      </c>
    </row>
    <row r="665" spans="3:9" x14ac:dyDescent="0.25">
      <c r="C665" s="245" t="s">
        <v>1300</v>
      </c>
      <c r="D665" s="270" t="s">
        <v>3170</v>
      </c>
      <c r="E665" s="279" t="s">
        <v>1082</v>
      </c>
      <c r="F665" s="244">
        <v>1</v>
      </c>
      <c r="G665" s="246">
        <v>24.95</v>
      </c>
      <c r="I665" s="157" t="str">
        <f t="shared" si="16"/>
        <v>SEINFRA</v>
      </c>
    </row>
    <row r="666" spans="3:9" x14ac:dyDescent="0.25">
      <c r="C666" s="245" t="s">
        <v>1420</v>
      </c>
      <c r="D666" s="270" t="s">
        <v>3193</v>
      </c>
      <c r="E666" s="279" t="s">
        <v>473</v>
      </c>
      <c r="F666" s="244">
        <v>6</v>
      </c>
      <c r="G666" s="246">
        <v>77.400000000000006</v>
      </c>
      <c r="I666" s="157" t="str">
        <f t="shared" si="16"/>
        <v>SEINFRA</v>
      </c>
    </row>
    <row r="667" spans="3:9" x14ac:dyDescent="0.25">
      <c r="C667" s="245" t="s">
        <v>1423</v>
      </c>
      <c r="D667" s="270" t="s">
        <v>3223</v>
      </c>
      <c r="E667" s="279" t="s">
        <v>473</v>
      </c>
      <c r="F667" s="244">
        <v>49.68</v>
      </c>
      <c r="G667" s="246">
        <v>47.86</v>
      </c>
      <c r="I667" s="157" t="str">
        <f t="shared" si="16"/>
        <v>SEINFRA</v>
      </c>
    </row>
    <row r="668" spans="3:9" x14ac:dyDescent="0.25">
      <c r="C668" s="245" t="s">
        <v>1441</v>
      </c>
      <c r="D668" s="270" t="s">
        <v>1442</v>
      </c>
      <c r="E668" s="279" t="s">
        <v>473</v>
      </c>
      <c r="F668" s="244">
        <v>8</v>
      </c>
      <c r="G668" s="246">
        <v>100</v>
      </c>
      <c r="I668" s="157" t="str">
        <f t="shared" si="16"/>
        <v>FGV</v>
      </c>
    </row>
    <row r="669" spans="3:9" x14ac:dyDescent="0.25">
      <c r="C669" s="245" t="s">
        <v>1303</v>
      </c>
      <c r="D669" s="270" t="s">
        <v>3021</v>
      </c>
      <c r="E669" s="279" t="s">
        <v>473</v>
      </c>
      <c r="F669" s="244">
        <v>782.16000000000008</v>
      </c>
      <c r="G669" s="246">
        <v>32.659999999999997</v>
      </c>
      <c r="I669" s="157" t="str">
        <f t="shared" si="16"/>
        <v>SEINFRA</v>
      </c>
    </row>
    <row r="670" spans="3:9" x14ac:dyDescent="0.25">
      <c r="C670" s="245" t="s">
        <v>1306</v>
      </c>
      <c r="D670" s="270" t="s">
        <v>3023</v>
      </c>
      <c r="E670" s="279" t="s">
        <v>473</v>
      </c>
      <c r="F670" s="244">
        <v>610.28</v>
      </c>
      <c r="G670" s="246">
        <v>47.21</v>
      </c>
      <c r="I670" s="157" t="str">
        <f t="shared" si="16"/>
        <v>SEINFRA</v>
      </c>
    </row>
    <row r="671" spans="3:9" x14ac:dyDescent="0.25">
      <c r="C671" s="245" t="s">
        <v>1309</v>
      </c>
      <c r="D671" s="270" t="s">
        <v>3025</v>
      </c>
      <c r="E671" s="279" t="s">
        <v>473</v>
      </c>
      <c r="F671" s="244">
        <v>41.87</v>
      </c>
      <c r="G671" s="246">
        <v>71.31</v>
      </c>
      <c r="I671" s="157" t="str">
        <f t="shared" si="16"/>
        <v>SEINFRA</v>
      </c>
    </row>
    <row r="672" spans="3:9" x14ac:dyDescent="0.25">
      <c r="C672" s="245" t="s">
        <v>1312</v>
      </c>
      <c r="D672" s="270" t="s">
        <v>3027</v>
      </c>
      <c r="E672" s="279" t="s">
        <v>473</v>
      </c>
      <c r="F672" s="244">
        <v>116.42</v>
      </c>
      <c r="G672" s="246">
        <v>80.83</v>
      </c>
      <c r="I672" s="157" t="str">
        <f t="shared" si="16"/>
        <v>SEINFRA</v>
      </c>
    </row>
    <row r="673" spans="3:9" x14ac:dyDescent="0.25">
      <c r="C673" s="245" t="s">
        <v>1315</v>
      </c>
      <c r="D673" s="270" t="s">
        <v>3269</v>
      </c>
      <c r="E673" s="279" t="s">
        <v>473</v>
      </c>
      <c r="F673" s="244">
        <v>181.78</v>
      </c>
      <c r="G673" s="246">
        <v>120.51</v>
      </c>
      <c r="I673" s="157" t="str">
        <f t="shared" si="16"/>
        <v>SEINFRA</v>
      </c>
    </row>
    <row r="674" spans="3:9" x14ac:dyDescent="0.25">
      <c r="C674" s="245" t="s">
        <v>1318</v>
      </c>
      <c r="D674" s="270" t="s">
        <v>3029</v>
      </c>
      <c r="E674" s="279" t="s">
        <v>473</v>
      </c>
      <c r="F674" s="244">
        <v>2.5</v>
      </c>
      <c r="G674" s="246">
        <v>161.86000000000001</v>
      </c>
      <c r="I674" s="157" t="str">
        <f t="shared" si="16"/>
        <v>SEINFRA</v>
      </c>
    </row>
    <row r="675" spans="3:9" x14ac:dyDescent="0.25">
      <c r="C675" s="245" t="s">
        <v>1321</v>
      </c>
      <c r="D675" s="270" t="s">
        <v>3236</v>
      </c>
      <c r="E675" s="279" t="s">
        <v>473</v>
      </c>
      <c r="F675" s="244">
        <v>142.36000000000001</v>
      </c>
      <c r="G675" s="246">
        <v>199.36</v>
      </c>
      <c r="I675" s="157" t="str">
        <f t="shared" si="16"/>
        <v>SEINFRA</v>
      </c>
    </row>
    <row r="676" spans="3:9" x14ac:dyDescent="0.25">
      <c r="C676" s="245" t="s">
        <v>3018</v>
      </c>
      <c r="D676" s="270" t="s">
        <v>3019</v>
      </c>
      <c r="E676" s="279" t="s">
        <v>473</v>
      </c>
      <c r="F676" s="244">
        <v>26.4</v>
      </c>
      <c r="G676" s="246">
        <v>184.93</v>
      </c>
      <c r="I676" s="157" t="str">
        <f t="shared" si="16"/>
        <v>SINAPI</v>
      </c>
    </row>
    <row r="677" spans="3:9" x14ac:dyDescent="0.25">
      <c r="I677" s="157" t="str">
        <f t="shared" ref="I677:I682" si="17">VLOOKUP(C541,$B$9:$G$533,2,FALSE)</f>
        <v>SEINFRA</v>
      </c>
    </row>
    <row r="678" spans="3:9" x14ac:dyDescent="0.25">
      <c r="I678" s="157" t="str">
        <f t="shared" si="17"/>
        <v>SINAPI</v>
      </c>
    </row>
    <row r="679" spans="3:9" x14ac:dyDescent="0.25">
      <c r="I679" s="157" t="str">
        <f t="shared" si="17"/>
        <v>SINAPI</v>
      </c>
    </row>
    <row r="680" spans="3:9" x14ac:dyDescent="0.25">
      <c r="I680" s="157" t="str">
        <f t="shared" si="17"/>
        <v>SINAPI</v>
      </c>
    </row>
    <row r="681" spans="3:9" x14ac:dyDescent="0.25">
      <c r="I681" s="157" t="str">
        <f t="shared" si="17"/>
        <v>SINAPI</v>
      </c>
    </row>
    <row r="682" spans="3:9" x14ac:dyDescent="0.25">
      <c r="I682" s="157" t="str">
        <f t="shared" si="17"/>
        <v>SINAPI</v>
      </c>
    </row>
    <row r="683" spans="3:9" x14ac:dyDescent="0.25">
      <c r="C683" s="245" t="s">
        <v>1123</v>
      </c>
      <c r="D683" s="270" t="s">
        <v>3213</v>
      </c>
      <c r="E683" s="279" t="s">
        <v>1082</v>
      </c>
      <c r="F683" s="244">
        <v>2</v>
      </c>
      <c r="G683" s="246">
        <v>122.9</v>
      </c>
      <c r="I683" s="157" t="str">
        <f t="shared" si="16"/>
        <v>SINAPI</v>
      </c>
    </row>
    <row r="684" spans="3:9" x14ac:dyDescent="0.25">
      <c r="C684" s="245" t="s">
        <v>1126</v>
      </c>
      <c r="D684" s="270" t="s">
        <v>3205</v>
      </c>
      <c r="E684" s="279" t="s">
        <v>1082</v>
      </c>
      <c r="F684" s="244">
        <v>2</v>
      </c>
      <c r="G684" s="246">
        <v>164.78</v>
      </c>
      <c r="I684" s="157" t="str">
        <f t="shared" si="16"/>
        <v>SINAPI</v>
      </c>
    </row>
    <row r="685" spans="3:9" x14ac:dyDescent="0.25">
      <c r="C685" s="245" t="s">
        <v>1327</v>
      </c>
      <c r="D685" s="270" t="s">
        <v>3002</v>
      </c>
      <c r="E685" s="279" t="s">
        <v>1082</v>
      </c>
      <c r="F685" s="244">
        <v>137</v>
      </c>
      <c r="G685" s="246">
        <v>136.18</v>
      </c>
      <c r="I685" s="157" t="str">
        <f t="shared" si="16"/>
        <v>SEINFRA</v>
      </c>
    </row>
    <row r="686" spans="3:9" x14ac:dyDescent="0.25">
      <c r="C686" s="245" t="s">
        <v>1145</v>
      </c>
      <c r="D686" s="270" t="s">
        <v>3191</v>
      </c>
      <c r="E686" s="279" t="s">
        <v>1082</v>
      </c>
      <c r="F686" s="244">
        <v>1</v>
      </c>
      <c r="G686" s="246">
        <v>234.69</v>
      </c>
      <c r="I686" s="157" t="str">
        <f t="shared" si="16"/>
        <v>SINAPI</v>
      </c>
    </row>
    <row r="687" spans="3:9" ht="22.5" x14ac:dyDescent="0.25">
      <c r="C687" s="245" t="s">
        <v>1129</v>
      </c>
      <c r="D687" s="270" t="s">
        <v>3215</v>
      </c>
      <c r="E687" s="279" t="s">
        <v>1082</v>
      </c>
      <c r="F687" s="244">
        <v>2</v>
      </c>
      <c r="G687" s="246">
        <v>213.75</v>
      </c>
      <c r="I687" s="157" t="str">
        <f>VLOOKUP(C687,$B$9:$G$533,2,FALSE)</f>
        <v>SINAPI</v>
      </c>
    </row>
    <row r="688" spans="3:9" ht="22.5" x14ac:dyDescent="0.25">
      <c r="C688" s="245" t="s">
        <v>1132</v>
      </c>
      <c r="D688" s="270" t="s">
        <v>3251</v>
      </c>
      <c r="E688" s="279" t="s">
        <v>1082</v>
      </c>
      <c r="F688" s="244">
        <v>2</v>
      </c>
      <c r="G688" s="246">
        <v>329.22</v>
      </c>
      <c r="I688" s="157" t="str">
        <f>VLOOKUP(C688,$B$9:$G$533,2,FALSE)</f>
        <v>SINAPI</v>
      </c>
    </row>
    <row r="689" spans="3:9" ht="33.75" x14ac:dyDescent="0.25">
      <c r="C689" s="245" t="s">
        <v>3074</v>
      </c>
      <c r="D689" s="270" t="s">
        <v>3075</v>
      </c>
      <c r="E689" s="279" t="s">
        <v>1082</v>
      </c>
      <c r="F689" s="244">
        <v>77</v>
      </c>
      <c r="G689" s="246">
        <v>313.45999999999998</v>
      </c>
      <c r="I689" s="157" t="str">
        <f>VLOOKUP(C689,$B$9:$G$533,2,FALSE)</f>
        <v>SINAPI</v>
      </c>
    </row>
  </sheetData>
  <mergeCells count="16">
    <mergeCell ref="B1:I1"/>
    <mergeCell ref="B2:I2"/>
    <mergeCell ref="B3:I3"/>
    <mergeCell ref="B4:I4"/>
    <mergeCell ref="A5:E5"/>
    <mergeCell ref="F5:I5"/>
    <mergeCell ref="C538:G538"/>
    <mergeCell ref="A536:D536"/>
    <mergeCell ref="E536:F536"/>
    <mergeCell ref="G536:I536"/>
    <mergeCell ref="A534:D534"/>
    <mergeCell ref="E534:F534"/>
    <mergeCell ref="G534:I534"/>
    <mergeCell ref="A535:D535"/>
    <mergeCell ref="E535:F535"/>
    <mergeCell ref="G535:I535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B1:K320"/>
  <sheetViews>
    <sheetView topLeftCell="A300" workbookViewId="0">
      <selection activeCell="E315" sqref="E315"/>
    </sheetView>
  </sheetViews>
  <sheetFormatPr defaultRowHeight="15.75" x14ac:dyDescent="0.25"/>
  <cols>
    <col min="1" max="1" width="4.375" customWidth="1"/>
    <col min="2" max="2" width="10.25" style="44" bestFit="1" customWidth="1"/>
    <col min="3" max="3" width="9.375" style="44" customWidth="1"/>
    <col min="4" max="4" width="9.875" style="44" bestFit="1" customWidth="1"/>
    <col min="5" max="5" width="61.75" bestFit="1" customWidth="1"/>
    <col min="6" max="6" width="5.125" bestFit="1" customWidth="1"/>
    <col min="7" max="7" width="10.25" bestFit="1" customWidth="1"/>
    <col min="8" max="8" width="11" customWidth="1"/>
    <col min="9" max="9" width="10.25" bestFit="1" customWidth="1"/>
    <col min="10" max="10" width="11.125" style="157" bestFit="1" customWidth="1"/>
    <col min="11" max="11" width="15.125" customWidth="1"/>
  </cols>
  <sheetData>
    <row r="1" spans="2:11" x14ac:dyDescent="0.25">
      <c r="B1" s="248" t="s">
        <v>2936</v>
      </c>
      <c r="C1" s="979" t="s">
        <v>2937</v>
      </c>
      <c r="D1" s="979"/>
      <c r="E1" s="979"/>
      <c r="F1" s="979"/>
      <c r="G1" s="979"/>
      <c r="H1" s="979"/>
      <c r="I1" s="979"/>
      <c r="J1" s="979"/>
    </row>
    <row r="2" spans="2:11" x14ac:dyDescent="0.25">
      <c r="B2" s="248" t="s">
        <v>2938</v>
      </c>
      <c r="C2" s="979" t="s">
        <v>2939</v>
      </c>
      <c r="D2" s="979"/>
      <c r="E2" s="979"/>
      <c r="F2" s="979"/>
      <c r="G2" s="979"/>
      <c r="H2" s="979"/>
      <c r="I2" s="979"/>
      <c r="J2" s="979"/>
    </row>
    <row r="3" spans="2:11" x14ac:dyDescent="0.25">
      <c r="B3" s="248" t="s">
        <v>2940</v>
      </c>
      <c r="C3" s="979" t="s">
        <v>1444</v>
      </c>
      <c r="D3" s="979"/>
      <c r="E3" s="979"/>
      <c r="F3" s="979"/>
      <c r="G3" s="979"/>
      <c r="H3" s="979"/>
      <c r="I3" s="979"/>
      <c r="J3" s="979"/>
    </row>
    <row r="4" spans="2:11" x14ac:dyDescent="0.25">
      <c r="B4" s="248" t="s">
        <v>2941</v>
      </c>
      <c r="C4" s="979" t="s">
        <v>3293</v>
      </c>
      <c r="D4" s="979"/>
      <c r="E4" s="979"/>
      <c r="F4" s="979"/>
      <c r="G4" s="979"/>
      <c r="H4" s="979"/>
      <c r="I4" s="979"/>
      <c r="J4" s="979"/>
    </row>
    <row r="5" spans="2:11" ht="48" customHeight="1" x14ac:dyDescent="0.25">
      <c r="B5" s="980" t="s">
        <v>2942</v>
      </c>
      <c r="C5" s="980"/>
      <c r="D5" s="980"/>
      <c r="E5" s="980"/>
      <c r="F5" s="980"/>
      <c r="G5" s="981" t="s">
        <v>2943</v>
      </c>
      <c r="H5" s="981"/>
      <c r="I5" s="981"/>
      <c r="J5" s="981"/>
    </row>
    <row r="6" spans="2:11" ht="25.5" x14ac:dyDescent="0.25">
      <c r="B6" s="658" t="s">
        <v>302</v>
      </c>
      <c r="C6" s="658" t="s">
        <v>304</v>
      </c>
      <c r="D6" s="658" t="s">
        <v>2944</v>
      </c>
      <c r="E6" s="658" t="s">
        <v>305</v>
      </c>
      <c r="F6" s="658" t="s">
        <v>306</v>
      </c>
      <c r="G6" s="249" t="s">
        <v>307</v>
      </c>
      <c r="H6" s="249" t="s">
        <v>308</v>
      </c>
      <c r="I6" s="249" t="s">
        <v>309</v>
      </c>
      <c r="J6" s="249" t="s">
        <v>310</v>
      </c>
    </row>
    <row r="7" spans="2:11" ht="20.100000000000001" customHeight="1" x14ac:dyDescent="0.25">
      <c r="B7" s="660" t="s">
        <v>3294</v>
      </c>
      <c r="C7" s="660"/>
      <c r="D7" s="660"/>
      <c r="E7" s="250" t="s">
        <v>3295</v>
      </c>
      <c r="F7" s="660"/>
      <c r="G7" s="273"/>
      <c r="H7" s="273"/>
      <c r="I7" s="273"/>
      <c r="J7" s="251"/>
    </row>
    <row r="8" spans="2:11" x14ac:dyDescent="0.25">
      <c r="B8" s="252" t="s">
        <v>3296</v>
      </c>
      <c r="C8" s="252"/>
      <c r="D8" s="252"/>
      <c r="E8" s="253" t="s">
        <v>3297</v>
      </c>
      <c r="F8" s="252"/>
      <c r="G8" s="258"/>
      <c r="H8" s="258"/>
      <c r="I8" s="258"/>
      <c r="J8" s="255"/>
    </row>
    <row r="9" spans="2:11" ht="33.75" x14ac:dyDescent="0.25">
      <c r="B9" s="244" t="s">
        <v>3298</v>
      </c>
      <c r="C9" s="244" t="s">
        <v>1512</v>
      </c>
      <c r="D9" s="244" t="s">
        <v>2882</v>
      </c>
      <c r="E9" s="245" t="s">
        <v>3299</v>
      </c>
      <c r="F9" s="244" t="s">
        <v>473</v>
      </c>
      <c r="G9" s="256">
        <v>229.53</v>
      </c>
      <c r="H9" s="256">
        <v>31.17</v>
      </c>
      <c r="I9" s="256">
        <v>38.94</v>
      </c>
      <c r="J9" s="257">
        <f t="shared" ref="J9:J14" si="0">ROUND(G9*I9,2)</f>
        <v>8937.9</v>
      </c>
      <c r="K9">
        <f>G9*H9</f>
        <v>7154.4501</v>
      </c>
    </row>
    <row r="10" spans="2:11" ht="33.75" x14ac:dyDescent="0.25">
      <c r="B10" s="244" t="s">
        <v>3300</v>
      </c>
      <c r="C10" s="244" t="s">
        <v>1515</v>
      </c>
      <c r="D10" s="244" t="s">
        <v>2882</v>
      </c>
      <c r="E10" s="245" t="s">
        <v>3301</v>
      </c>
      <c r="F10" s="244" t="s">
        <v>473</v>
      </c>
      <c r="G10" s="256">
        <v>401.37</v>
      </c>
      <c r="H10" s="256">
        <v>46.45</v>
      </c>
      <c r="I10" s="256">
        <v>58.03</v>
      </c>
      <c r="J10" s="257">
        <f t="shared" si="0"/>
        <v>23291.5</v>
      </c>
      <c r="K10">
        <f t="shared" ref="K10:K73" si="1">G10*H10</f>
        <v>18643.636500000001</v>
      </c>
    </row>
    <row r="11" spans="2:11" ht="33.75" x14ac:dyDescent="0.25">
      <c r="B11" s="244" t="s">
        <v>3302</v>
      </c>
      <c r="C11" s="244" t="s">
        <v>1518</v>
      </c>
      <c r="D11" s="244" t="s">
        <v>2882</v>
      </c>
      <c r="E11" s="245" t="s">
        <v>3303</v>
      </c>
      <c r="F11" s="244" t="s">
        <v>473</v>
      </c>
      <c r="G11" s="256">
        <v>389.53</v>
      </c>
      <c r="H11" s="256">
        <v>21.08</v>
      </c>
      <c r="I11" s="256">
        <v>26.34</v>
      </c>
      <c r="J11" s="257">
        <f t="shared" si="0"/>
        <v>10260.219999999999</v>
      </c>
      <c r="K11">
        <f t="shared" si="1"/>
        <v>8211.2923999999985</v>
      </c>
    </row>
    <row r="12" spans="2:11" ht="33.75" x14ac:dyDescent="0.25">
      <c r="B12" s="244" t="s">
        <v>3304</v>
      </c>
      <c r="C12" s="244" t="s">
        <v>1521</v>
      </c>
      <c r="D12" s="244" t="s">
        <v>2882</v>
      </c>
      <c r="E12" s="245" t="s">
        <v>3305</v>
      </c>
      <c r="F12" s="244" t="s">
        <v>473</v>
      </c>
      <c r="G12" s="256">
        <v>597.11</v>
      </c>
      <c r="H12" s="256">
        <v>36.130000000000003</v>
      </c>
      <c r="I12" s="256">
        <v>45.14</v>
      </c>
      <c r="J12" s="257">
        <f t="shared" si="0"/>
        <v>26953.55</v>
      </c>
      <c r="K12">
        <f t="shared" si="1"/>
        <v>21573.584300000002</v>
      </c>
    </row>
    <row r="13" spans="2:11" ht="33.75" x14ac:dyDescent="0.25">
      <c r="B13" s="244" t="s">
        <v>3306</v>
      </c>
      <c r="C13" s="244" t="s">
        <v>1524</v>
      </c>
      <c r="D13" s="244" t="s">
        <v>2882</v>
      </c>
      <c r="E13" s="245" t="s">
        <v>3307</v>
      </c>
      <c r="F13" s="244" t="s">
        <v>473</v>
      </c>
      <c r="G13" s="256">
        <v>285.79000000000002</v>
      </c>
      <c r="H13" s="256">
        <v>11.96</v>
      </c>
      <c r="I13" s="256">
        <v>14.94</v>
      </c>
      <c r="J13" s="257">
        <f t="shared" si="0"/>
        <v>4269.7</v>
      </c>
      <c r="K13">
        <f t="shared" si="1"/>
        <v>3418.0484000000006</v>
      </c>
    </row>
    <row r="14" spans="2:11" x14ac:dyDescent="0.25">
      <c r="B14" s="244" t="s">
        <v>3308</v>
      </c>
      <c r="C14" s="244" t="s">
        <v>1568</v>
      </c>
      <c r="D14" s="244" t="s">
        <v>2956</v>
      </c>
      <c r="E14" s="245" t="s">
        <v>3309</v>
      </c>
      <c r="F14" s="244" t="s">
        <v>473</v>
      </c>
      <c r="G14" s="256">
        <v>19.8</v>
      </c>
      <c r="H14" s="256">
        <v>23.39</v>
      </c>
      <c r="I14" s="256">
        <v>29.22</v>
      </c>
      <c r="J14" s="257">
        <f t="shared" si="0"/>
        <v>578.55999999999995</v>
      </c>
      <c r="K14">
        <f t="shared" si="1"/>
        <v>463.12200000000001</v>
      </c>
    </row>
    <row r="15" spans="2:11" x14ac:dyDescent="0.25">
      <c r="B15" s="252" t="s">
        <v>3310</v>
      </c>
      <c r="C15" s="252"/>
      <c r="D15" s="252"/>
      <c r="E15" s="253" t="s">
        <v>3311</v>
      </c>
      <c r="F15" s="252"/>
      <c r="G15" s="258"/>
      <c r="H15" s="258"/>
      <c r="I15" s="258"/>
      <c r="J15" s="255"/>
      <c r="K15">
        <f t="shared" si="1"/>
        <v>0</v>
      </c>
    </row>
    <row r="16" spans="2:11" x14ac:dyDescent="0.25">
      <c r="B16" s="274" t="s">
        <v>3312</v>
      </c>
      <c r="C16" s="274"/>
      <c r="D16" s="274"/>
      <c r="E16" s="275" t="s">
        <v>3313</v>
      </c>
      <c r="F16" s="274"/>
      <c r="G16" s="276"/>
      <c r="H16" s="276"/>
      <c r="I16" s="276"/>
      <c r="J16" s="277"/>
      <c r="K16">
        <f t="shared" si="1"/>
        <v>0</v>
      </c>
    </row>
    <row r="17" spans="2:11" x14ac:dyDescent="0.25">
      <c r="B17" s="244" t="s">
        <v>3314</v>
      </c>
      <c r="C17" s="244" t="s">
        <v>1446</v>
      </c>
      <c r="D17" s="244" t="s">
        <v>2882</v>
      </c>
      <c r="E17" s="245" t="s">
        <v>3315</v>
      </c>
      <c r="F17" s="244" t="s">
        <v>1082</v>
      </c>
      <c r="G17" s="256">
        <v>21</v>
      </c>
      <c r="H17" s="256">
        <v>277.81</v>
      </c>
      <c r="I17" s="256">
        <v>347.07</v>
      </c>
      <c r="J17" s="257">
        <f>G17*I17</f>
        <v>7288.47</v>
      </c>
      <c r="K17">
        <f t="shared" si="1"/>
        <v>5834.01</v>
      </c>
    </row>
    <row r="18" spans="2:11" x14ac:dyDescent="0.25">
      <c r="B18" s="244" t="s">
        <v>3316</v>
      </c>
      <c r="C18" s="244" t="s">
        <v>1530</v>
      </c>
      <c r="D18" s="244" t="s">
        <v>2956</v>
      </c>
      <c r="E18" s="245" t="s">
        <v>3317</v>
      </c>
      <c r="F18" s="244" t="s">
        <v>378</v>
      </c>
      <c r="G18" s="256">
        <v>41.92</v>
      </c>
      <c r="H18" s="256">
        <v>140.58000000000001</v>
      </c>
      <c r="I18" s="256">
        <v>175.63</v>
      </c>
      <c r="J18" s="257">
        <f t="shared" ref="J18:J54" si="2">G18*I18</f>
        <v>7362.4096</v>
      </c>
      <c r="K18">
        <f t="shared" si="1"/>
        <v>5893.1136000000006</v>
      </c>
    </row>
    <row r="19" spans="2:11" x14ac:dyDescent="0.25">
      <c r="B19" s="274" t="s">
        <v>3318</v>
      </c>
      <c r="C19" s="274"/>
      <c r="D19" s="274"/>
      <c r="E19" s="275" t="s">
        <v>3319</v>
      </c>
      <c r="F19" s="274"/>
      <c r="G19" s="276"/>
      <c r="H19" s="276"/>
      <c r="I19" s="276"/>
      <c r="J19" s="277"/>
      <c r="K19">
        <f t="shared" si="1"/>
        <v>0</v>
      </c>
    </row>
    <row r="20" spans="2:11" x14ac:dyDescent="0.25">
      <c r="B20" s="244" t="s">
        <v>3320</v>
      </c>
      <c r="C20" s="244" t="s">
        <v>1527</v>
      </c>
      <c r="D20" s="244" t="s">
        <v>2956</v>
      </c>
      <c r="E20" s="245" t="s">
        <v>3321</v>
      </c>
      <c r="F20" s="244" t="s">
        <v>1082</v>
      </c>
      <c r="G20" s="256">
        <v>3</v>
      </c>
      <c r="H20" s="256">
        <v>181.41</v>
      </c>
      <c r="I20" s="256">
        <v>226.64</v>
      </c>
      <c r="J20" s="257">
        <f t="shared" si="2"/>
        <v>679.92</v>
      </c>
      <c r="K20">
        <f t="shared" si="1"/>
        <v>544.23</v>
      </c>
    </row>
    <row r="21" spans="2:11" x14ac:dyDescent="0.25">
      <c r="B21" s="274" t="s">
        <v>3322</v>
      </c>
      <c r="C21" s="274"/>
      <c r="D21" s="274"/>
      <c r="E21" s="275" t="s">
        <v>3323</v>
      </c>
      <c r="F21" s="274"/>
      <c r="G21" s="276"/>
      <c r="H21" s="276"/>
      <c r="I21" s="276"/>
      <c r="J21" s="277"/>
      <c r="K21">
        <f t="shared" si="1"/>
        <v>0</v>
      </c>
    </row>
    <row r="22" spans="2:11" x14ac:dyDescent="0.25">
      <c r="B22" s="244" t="s">
        <v>3324</v>
      </c>
      <c r="C22" s="244" t="s">
        <v>1527</v>
      </c>
      <c r="D22" s="244" t="s">
        <v>2956</v>
      </c>
      <c r="E22" s="245" t="s">
        <v>3321</v>
      </c>
      <c r="F22" s="244" t="s">
        <v>1082</v>
      </c>
      <c r="G22" s="256">
        <v>16</v>
      </c>
      <c r="H22" s="256">
        <v>181.41</v>
      </c>
      <c r="I22" s="256">
        <v>226.64</v>
      </c>
      <c r="J22" s="257">
        <f t="shared" si="2"/>
        <v>3626.24</v>
      </c>
      <c r="K22">
        <f t="shared" si="1"/>
        <v>2902.56</v>
      </c>
    </row>
    <row r="23" spans="2:11" x14ac:dyDescent="0.25">
      <c r="B23" s="252" t="s">
        <v>3325</v>
      </c>
      <c r="C23" s="252"/>
      <c r="D23" s="252"/>
      <c r="E23" s="253" t="s">
        <v>3326</v>
      </c>
      <c r="F23" s="252"/>
      <c r="G23" s="258"/>
      <c r="H23" s="258"/>
      <c r="I23" s="258"/>
      <c r="J23" s="255"/>
      <c r="K23">
        <f t="shared" si="1"/>
        <v>0</v>
      </c>
    </row>
    <row r="24" spans="2:11" ht="22.5" x14ac:dyDescent="0.25">
      <c r="B24" s="244" t="s">
        <v>3327</v>
      </c>
      <c r="C24" s="244" t="s">
        <v>1452</v>
      </c>
      <c r="D24" s="244" t="s">
        <v>2882</v>
      </c>
      <c r="E24" s="245" t="s">
        <v>3328</v>
      </c>
      <c r="F24" s="244" t="s">
        <v>1082</v>
      </c>
      <c r="G24" s="256">
        <v>2</v>
      </c>
      <c r="H24" s="256">
        <v>4.74</v>
      </c>
      <c r="I24" s="256">
        <v>5.92</v>
      </c>
      <c r="J24" s="257">
        <f t="shared" si="2"/>
        <v>11.84</v>
      </c>
      <c r="K24">
        <f t="shared" si="1"/>
        <v>9.48</v>
      </c>
    </row>
    <row r="25" spans="2:11" ht="33.75" x14ac:dyDescent="0.25">
      <c r="B25" s="244" t="s">
        <v>3329</v>
      </c>
      <c r="C25" s="244" t="s">
        <v>1473</v>
      </c>
      <c r="D25" s="244" t="s">
        <v>2882</v>
      </c>
      <c r="E25" s="245" t="s">
        <v>3330</v>
      </c>
      <c r="F25" s="244" t="s">
        <v>1082</v>
      </c>
      <c r="G25" s="256">
        <v>139</v>
      </c>
      <c r="H25" s="256">
        <v>4.63</v>
      </c>
      <c r="I25" s="256">
        <v>5.78</v>
      </c>
      <c r="J25" s="257">
        <f t="shared" si="2"/>
        <v>803.42000000000007</v>
      </c>
      <c r="K25">
        <f t="shared" si="1"/>
        <v>643.56999999999994</v>
      </c>
    </row>
    <row r="26" spans="2:11" ht="33.75" x14ac:dyDescent="0.25">
      <c r="B26" s="244" t="s">
        <v>3331</v>
      </c>
      <c r="C26" s="244" t="s">
        <v>1485</v>
      </c>
      <c r="D26" s="244" t="s">
        <v>2882</v>
      </c>
      <c r="E26" s="245" t="s">
        <v>3332</v>
      </c>
      <c r="F26" s="244" t="s">
        <v>1082</v>
      </c>
      <c r="G26" s="256">
        <v>2</v>
      </c>
      <c r="H26" s="256">
        <v>10.4</v>
      </c>
      <c r="I26" s="256">
        <v>12.99</v>
      </c>
      <c r="J26" s="257">
        <f t="shared" si="2"/>
        <v>25.98</v>
      </c>
      <c r="K26">
        <f t="shared" si="1"/>
        <v>20.8</v>
      </c>
    </row>
    <row r="27" spans="2:11" ht="33.75" x14ac:dyDescent="0.25">
      <c r="B27" s="244" t="s">
        <v>3333</v>
      </c>
      <c r="C27" s="244" t="s">
        <v>1479</v>
      </c>
      <c r="D27" s="244" t="s">
        <v>2882</v>
      </c>
      <c r="E27" s="245" t="s">
        <v>3334</v>
      </c>
      <c r="F27" s="244" t="s">
        <v>1082</v>
      </c>
      <c r="G27" s="256">
        <v>1</v>
      </c>
      <c r="H27" s="256">
        <v>6.22</v>
      </c>
      <c r="I27" s="256">
        <v>7.77</v>
      </c>
      <c r="J27" s="257">
        <f t="shared" si="2"/>
        <v>7.77</v>
      </c>
      <c r="K27">
        <f t="shared" si="1"/>
        <v>6.22</v>
      </c>
    </row>
    <row r="28" spans="2:11" ht="33.75" x14ac:dyDescent="0.25">
      <c r="B28" s="244" t="s">
        <v>3335</v>
      </c>
      <c r="C28" s="244" t="s">
        <v>1491</v>
      </c>
      <c r="D28" s="244" t="s">
        <v>2882</v>
      </c>
      <c r="E28" s="245" t="s">
        <v>3336</v>
      </c>
      <c r="F28" s="244" t="s">
        <v>1082</v>
      </c>
      <c r="G28" s="256">
        <v>1</v>
      </c>
      <c r="H28" s="256">
        <v>12.82</v>
      </c>
      <c r="I28" s="256">
        <v>16.02</v>
      </c>
      <c r="J28" s="257">
        <f t="shared" si="2"/>
        <v>16.02</v>
      </c>
      <c r="K28">
        <f t="shared" si="1"/>
        <v>12.82</v>
      </c>
    </row>
    <row r="29" spans="2:11" ht="33.75" x14ac:dyDescent="0.25">
      <c r="B29" s="244" t="s">
        <v>3337</v>
      </c>
      <c r="C29" s="244" t="s">
        <v>1470</v>
      </c>
      <c r="D29" s="244" t="s">
        <v>2882</v>
      </c>
      <c r="E29" s="245" t="s">
        <v>3338</v>
      </c>
      <c r="F29" s="244" t="s">
        <v>1082</v>
      </c>
      <c r="G29" s="256">
        <v>216</v>
      </c>
      <c r="H29" s="256">
        <v>4.47</v>
      </c>
      <c r="I29" s="256">
        <v>5.58</v>
      </c>
      <c r="J29" s="257">
        <f t="shared" si="2"/>
        <v>1205.28</v>
      </c>
      <c r="K29">
        <f t="shared" si="1"/>
        <v>965.52</v>
      </c>
    </row>
    <row r="30" spans="2:11" x14ac:dyDescent="0.25">
      <c r="B30" s="244" t="s">
        <v>3339</v>
      </c>
      <c r="C30" s="244" t="s">
        <v>1536</v>
      </c>
      <c r="D30" s="244" t="s">
        <v>2956</v>
      </c>
      <c r="E30" s="245" t="s">
        <v>3340</v>
      </c>
      <c r="F30" s="244" t="s">
        <v>1082</v>
      </c>
      <c r="G30" s="256">
        <v>4</v>
      </c>
      <c r="H30" s="256">
        <v>16.63</v>
      </c>
      <c r="I30" s="256">
        <v>20.78</v>
      </c>
      <c r="J30" s="257">
        <f t="shared" si="2"/>
        <v>83.12</v>
      </c>
      <c r="K30">
        <f t="shared" si="1"/>
        <v>66.52</v>
      </c>
    </row>
    <row r="31" spans="2:11" ht="22.5" x14ac:dyDescent="0.25">
      <c r="B31" s="244" t="s">
        <v>3341</v>
      </c>
      <c r="C31" s="244" t="s">
        <v>1461</v>
      </c>
      <c r="D31" s="244" t="s">
        <v>2882</v>
      </c>
      <c r="E31" s="245" t="s">
        <v>3342</v>
      </c>
      <c r="F31" s="244" t="s">
        <v>1082</v>
      </c>
      <c r="G31" s="256">
        <v>4</v>
      </c>
      <c r="H31" s="256">
        <v>4.4800000000000004</v>
      </c>
      <c r="I31" s="256">
        <v>5.6</v>
      </c>
      <c r="J31" s="257">
        <f t="shared" si="2"/>
        <v>22.4</v>
      </c>
      <c r="K31">
        <f t="shared" si="1"/>
        <v>17.920000000000002</v>
      </c>
    </row>
    <row r="32" spans="2:11" ht="33.75" x14ac:dyDescent="0.25">
      <c r="B32" s="244" t="s">
        <v>3343</v>
      </c>
      <c r="C32" s="244" t="s">
        <v>1476</v>
      </c>
      <c r="D32" s="244" t="s">
        <v>2882</v>
      </c>
      <c r="E32" s="245" t="s">
        <v>3344</v>
      </c>
      <c r="F32" s="244" t="s">
        <v>1082</v>
      </c>
      <c r="G32" s="256">
        <v>85</v>
      </c>
      <c r="H32" s="256">
        <v>5.81</v>
      </c>
      <c r="I32" s="256">
        <v>7.26</v>
      </c>
      <c r="J32" s="257">
        <f t="shared" si="2"/>
        <v>617.1</v>
      </c>
      <c r="K32">
        <f t="shared" si="1"/>
        <v>493.84999999999997</v>
      </c>
    </row>
    <row r="33" spans="2:11" ht="33.75" x14ac:dyDescent="0.25">
      <c r="B33" s="244" t="s">
        <v>3345</v>
      </c>
      <c r="C33" s="244" t="s">
        <v>1488</v>
      </c>
      <c r="D33" s="244" t="s">
        <v>2882</v>
      </c>
      <c r="E33" s="245" t="s">
        <v>3346</v>
      </c>
      <c r="F33" s="244" t="s">
        <v>1082</v>
      </c>
      <c r="G33" s="256">
        <v>73</v>
      </c>
      <c r="H33" s="256">
        <v>13.19</v>
      </c>
      <c r="I33" s="256">
        <v>16.48</v>
      </c>
      <c r="J33" s="257">
        <f t="shared" si="2"/>
        <v>1203.04</v>
      </c>
      <c r="K33">
        <f t="shared" si="1"/>
        <v>962.87</v>
      </c>
    </row>
    <row r="34" spans="2:11" ht="33.75" x14ac:dyDescent="0.25">
      <c r="B34" s="244" t="s">
        <v>3347</v>
      </c>
      <c r="C34" s="244" t="s">
        <v>1482</v>
      </c>
      <c r="D34" s="244" t="s">
        <v>2882</v>
      </c>
      <c r="E34" s="245" t="s">
        <v>3348</v>
      </c>
      <c r="F34" s="244" t="s">
        <v>1082</v>
      </c>
      <c r="G34" s="256">
        <v>43</v>
      </c>
      <c r="H34" s="256">
        <v>9.86</v>
      </c>
      <c r="I34" s="256">
        <v>12.32</v>
      </c>
      <c r="J34" s="257">
        <f t="shared" si="2"/>
        <v>529.76</v>
      </c>
      <c r="K34">
        <f t="shared" si="1"/>
        <v>423.97999999999996</v>
      </c>
    </row>
    <row r="35" spans="2:11" x14ac:dyDescent="0.25">
      <c r="B35" s="244" t="s">
        <v>3349</v>
      </c>
      <c r="C35" s="244" t="s">
        <v>1533</v>
      </c>
      <c r="D35" s="244" t="s">
        <v>2956</v>
      </c>
      <c r="E35" s="245" t="s">
        <v>3350</v>
      </c>
      <c r="F35" s="244" t="s">
        <v>1082</v>
      </c>
      <c r="G35" s="256">
        <v>18</v>
      </c>
      <c r="H35" s="256">
        <v>17.95</v>
      </c>
      <c r="I35" s="256">
        <v>22.42</v>
      </c>
      <c r="J35" s="257">
        <f t="shared" si="2"/>
        <v>403.56000000000006</v>
      </c>
      <c r="K35">
        <f t="shared" si="1"/>
        <v>323.09999999999997</v>
      </c>
    </row>
    <row r="36" spans="2:11" x14ac:dyDescent="0.25">
      <c r="B36" s="244" t="s">
        <v>3351</v>
      </c>
      <c r="C36" s="244" t="s">
        <v>1539</v>
      </c>
      <c r="D36" s="244" t="s">
        <v>2956</v>
      </c>
      <c r="E36" s="245" t="s">
        <v>3352</v>
      </c>
      <c r="F36" s="244" t="s">
        <v>1082</v>
      </c>
      <c r="G36" s="256">
        <v>3</v>
      </c>
      <c r="H36" s="256">
        <v>56.33</v>
      </c>
      <c r="I36" s="256">
        <v>70.37</v>
      </c>
      <c r="J36" s="257">
        <f t="shared" si="2"/>
        <v>211.11</v>
      </c>
      <c r="K36">
        <f t="shared" si="1"/>
        <v>168.99</v>
      </c>
    </row>
    <row r="37" spans="2:11" x14ac:dyDescent="0.25">
      <c r="B37" s="244" t="s">
        <v>3353</v>
      </c>
      <c r="C37" s="244" t="s">
        <v>1264</v>
      </c>
      <c r="D37" s="244" t="s">
        <v>2956</v>
      </c>
      <c r="E37" s="245" t="s">
        <v>3354</v>
      </c>
      <c r="F37" s="244" t="s">
        <v>1082</v>
      </c>
      <c r="G37" s="256">
        <v>40</v>
      </c>
      <c r="H37" s="256">
        <v>121.83</v>
      </c>
      <c r="I37" s="256">
        <v>152.19999999999999</v>
      </c>
      <c r="J37" s="257">
        <f t="shared" si="2"/>
        <v>6088</v>
      </c>
      <c r="K37">
        <f t="shared" si="1"/>
        <v>4873.2</v>
      </c>
    </row>
    <row r="38" spans="2:11" ht="33.75" x14ac:dyDescent="0.25">
      <c r="B38" s="244" t="s">
        <v>3355</v>
      </c>
      <c r="C38" s="244" t="s">
        <v>1506</v>
      </c>
      <c r="D38" s="244" t="s">
        <v>2882</v>
      </c>
      <c r="E38" s="245" t="s">
        <v>3356</v>
      </c>
      <c r="F38" s="244" t="s">
        <v>1082</v>
      </c>
      <c r="G38" s="256">
        <v>32</v>
      </c>
      <c r="H38" s="256">
        <v>24.11</v>
      </c>
      <c r="I38" s="256">
        <v>30.12</v>
      </c>
      <c r="J38" s="257">
        <f t="shared" si="2"/>
        <v>963.84</v>
      </c>
      <c r="K38">
        <f t="shared" si="1"/>
        <v>771.52</v>
      </c>
    </row>
    <row r="39" spans="2:11" ht="22.5" x14ac:dyDescent="0.25">
      <c r="B39" s="244" t="s">
        <v>3357</v>
      </c>
      <c r="C39" s="244" t="s">
        <v>1458</v>
      </c>
      <c r="D39" s="244" t="s">
        <v>2882</v>
      </c>
      <c r="E39" s="245" t="s">
        <v>3358</v>
      </c>
      <c r="F39" s="244" t="s">
        <v>1082</v>
      </c>
      <c r="G39" s="256">
        <v>2</v>
      </c>
      <c r="H39" s="256">
        <v>39.659999999999997</v>
      </c>
      <c r="I39" s="256">
        <v>49.55</v>
      </c>
      <c r="J39" s="257">
        <f t="shared" si="2"/>
        <v>99.1</v>
      </c>
      <c r="K39">
        <f t="shared" si="1"/>
        <v>79.319999999999993</v>
      </c>
    </row>
    <row r="40" spans="2:11" x14ac:dyDescent="0.25">
      <c r="B40" s="244" t="s">
        <v>3359</v>
      </c>
      <c r="C40" s="244" t="s">
        <v>1547</v>
      </c>
      <c r="D40" s="244" t="s">
        <v>2956</v>
      </c>
      <c r="E40" s="245" t="s">
        <v>3360</v>
      </c>
      <c r="F40" s="244" t="s">
        <v>1082</v>
      </c>
      <c r="G40" s="256">
        <v>58</v>
      </c>
      <c r="H40" s="256">
        <v>23.99</v>
      </c>
      <c r="I40" s="256">
        <v>29.97</v>
      </c>
      <c r="J40" s="257">
        <f t="shared" si="2"/>
        <v>1738.26</v>
      </c>
      <c r="K40">
        <f t="shared" si="1"/>
        <v>1391.4199999999998</v>
      </c>
    </row>
    <row r="41" spans="2:11" ht="33.75" x14ac:dyDescent="0.25">
      <c r="B41" s="244" t="s">
        <v>3361</v>
      </c>
      <c r="C41" s="244" t="s">
        <v>1503</v>
      </c>
      <c r="D41" s="244" t="s">
        <v>2882</v>
      </c>
      <c r="E41" s="245" t="s">
        <v>3362</v>
      </c>
      <c r="F41" s="244" t="s">
        <v>1082</v>
      </c>
      <c r="G41" s="256">
        <v>1</v>
      </c>
      <c r="H41" s="256">
        <v>18.21</v>
      </c>
      <c r="I41" s="256">
        <v>22.75</v>
      </c>
      <c r="J41" s="257">
        <f t="shared" si="2"/>
        <v>22.75</v>
      </c>
      <c r="K41">
        <f t="shared" si="1"/>
        <v>18.21</v>
      </c>
    </row>
    <row r="42" spans="2:11" x14ac:dyDescent="0.25">
      <c r="B42" s="244" t="s">
        <v>3363</v>
      </c>
      <c r="C42" s="244" t="s">
        <v>1544</v>
      </c>
      <c r="D42" s="244" t="s">
        <v>2956</v>
      </c>
      <c r="E42" s="245" t="s">
        <v>3364</v>
      </c>
      <c r="F42" s="244" t="s">
        <v>1082</v>
      </c>
      <c r="G42" s="256">
        <v>10</v>
      </c>
      <c r="H42" s="256">
        <v>22.49</v>
      </c>
      <c r="I42" s="256">
        <v>28.1</v>
      </c>
      <c r="J42" s="257">
        <f t="shared" si="2"/>
        <v>281</v>
      </c>
      <c r="K42">
        <f t="shared" si="1"/>
        <v>224.89999999999998</v>
      </c>
    </row>
    <row r="43" spans="2:11" ht="33.75" x14ac:dyDescent="0.25">
      <c r="B43" s="244" t="s">
        <v>3365</v>
      </c>
      <c r="C43" s="244" t="s">
        <v>1500</v>
      </c>
      <c r="D43" s="244" t="s">
        <v>2882</v>
      </c>
      <c r="E43" s="245" t="s">
        <v>3366</v>
      </c>
      <c r="F43" s="244" t="s">
        <v>1082</v>
      </c>
      <c r="G43" s="256">
        <v>6</v>
      </c>
      <c r="H43" s="256">
        <v>10.85</v>
      </c>
      <c r="I43" s="256">
        <v>13.55</v>
      </c>
      <c r="J43" s="257">
        <f t="shared" si="2"/>
        <v>81.300000000000011</v>
      </c>
      <c r="K43">
        <f t="shared" si="1"/>
        <v>65.099999999999994</v>
      </c>
    </row>
    <row r="44" spans="2:11" x14ac:dyDescent="0.25">
      <c r="B44" s="244" t="s">
        <v>3367</v>
      </c>
      <c r="C44" s="244" t="s">
        <v>1550</v>
      </c>
      <c r="D44" s="244" t="s">
        <v>2956</v>
      </c>
      <c r="E44" s="245" t="s">
        <v>3368</v>
      </c>
      <c r="F44" s="244" t="s">
        <v>1082</v>
      </c>
      <c r="G44" s="256">
        <v>10</v>
      </c>
      <c r="H44" s="256">
        <v>24.3</v>
      </c>
      <c r="I44" s="256">
        <v>30.36</v>
      </c>
      <c r="J44" s="257">
        <f t="shared" si="2"/>
        <v>303.60000000000002</v>
      </c>
      <c r="K44">
        <f t="shared" si="1"/>
        <v>243</v>
      </c>
    </row>
    <row r="45" spans="2:11" x14ac:dyDescent="0.25">
      <c r="B45" s="244" t="s">
        <v>3369</v>
      </c>
      <c r="C45" s="244" t="s">
        <v>1553</v>
      </c>
      <c r="D45" s="244" t="s">
        <v>2956</v>
      </c>
      <c r="E45" s="245" t="s">
        <v>3370</v>
      </c>
      <c r="F45" s="244" t="s">
        <v>1082</v>
      </c>
      <c r="G45" s="256">
        <v>12</v>
      </c>
      <c r="H45" s="256">
        <v>25.33</v>
      </c>
      <c r="I45" s="256">
        <v>31.64</v>
      </c>
      <c r="J45" s="257">
        <f t="shared" si="2"/>
        <v>379.68</v>
      </c>
      <c r="K45">
        <f t="shared" si="1"/>
        <v>303.95999999999998</v>
      </c>
    </row>
    <row r="46" spans="2:11" x14ac:dyDescent="0.25">
      <c r="B46" s="244" t="s">
        <v>3371</v>
      </c>
      <c r="C46" s="244" t="s">
        <v>1562</v>
      </c>
      <c r="D46" s="244" t="s">
        <v>2956</v>
      </c>
      <c r="E46" s="245" t="s">
        <v>3372</v>
      </c>
      <c r="F46" s="244" t="s">
        <v>1082</v>
      </c>
      <c r="G46" s="256">
        <v>8</v>
      </c>
      <c r="H46" s="256">
        <v>22.44</v>
      </c>
      <c r="I46" s="256">
        <v>28.03</v>
      </c>
      <c r="J46" s="257">
        <f t="shared" si="2"/>
        <v>224.24</v>
      </c>
      <c r="K46">
        <f t="shared" si="1"/>
        <v>179.52</v>
      </c>
    </row>
    <row r="47" spans="2:11" x14ac:dyDescent="0.25">
      <c r="B47" s="244" t="s">
        <v>3373</v>
      </c>
      <c r="C47" s="244" t="s">
        <v>1559</v>
      </c>
      <c r="D47" s="244" t="s">
        <v>2956</v>
      </c>
      <c r="E47" s="245" t="s">
        <v>3374</v>
      </c>
      <c r="F47" s="244" t="s">
        <v>1082</v>
      </c>
      <c r="G47" s="256">
        <v>2</v>
      </c>
      <c r="H47" s="256">
        <v>20.75</v>
      </c>
      <c r="I47" s="256">
        <v>25.92</v>
      </c>
      <c r="J47" s="257">
        <f t="shared" si="2"/>
        <v>51.84</v>
      </c>
      <c r="K47">
        <f t="shared" si="1"/>
        <v>41.5</v>
      </c>
    </row>
    <row r="48" spans="2:11" x14ac:dyDescent="0.25">
      <c r="B48" s="244" t="s">
        <v>3375</v>
      </c>
      <c r="C48" s="244" t="s">
        <v>1556</v>
      </c>
      <c r="D48" s="244" t="s">
        <v>2956</v>
      </c>
      <c r="E48" s="245" t="s">
        <v>3376</v>
      </c>
      <c r="F48" s="244" t="s">
        <v>1082</v>
      </c>
      <c r="G48" s="256">
        <v>37</v>
      </c>
      <c r="H48" s="256">
        <v>14.7</v>
      </c>
      <c r="I48" s="256">
        <v>18.36</v>
      </c>
      <c r="J48" s="257">
        <f t="shared" si="2"/>
        <v>679.31999999999994</v>
      </c>
      <c r="K48">
        <f t="shared" si="1"/>
        <v>543.9</v>
      </c>
    </row>
    <row r="49" spans="2:11" ht="22.5" x14ac:dyDescent="0.25">
      <c r="B49" s="244" t="s">
        <v>3377</v>
      </c>
      <c r="C49" s="244" t="s">
        <v>1467</v>
      </c>
      <c r="D49" s="244" t="s">
        <v>2882</v>
      </c>
      <c r="E49" s="245" t="s">
        <v>3378</v>
      </c>
      <c r="F49" s="244" t="s">
        <v>1082</v>
      </c>
      <c r="G49" s="256">
        <v>31</v>
      </c>
      <c r="H49" s="256">
        <v>7.56</v>
      </c>
      <c r="I49" s="256">
        <v>9.44</v>
      </c>
      <c r="J49" s="257">
        <f t="shared" si="2"/>
        <v>292.64</v>
      </c>
      <c r="K49">
        <f t="shared" si="1"/>
        <v>234.35999999999999</v>
      </c>
    </row>
    <row r="50" spans="2:11" ht="22.5" x14ac:dyDescent="0.25">
      <c r="B50" s="244" t="s">
        <v>3379</v>
      </c>
      <c r="C50" s="244" t="s">
        <v>1455</v>
      </c>
      <c r="D50" s="244" t="s">
        <v>2882</v>
      </c>
      <c r="E50" s="245" t="s">
        <v>3380</v>
      </c>
      <c r="F50" s="244" t="s">
        <v>1082</v>
      </c>
      <c r="G50" s="256">
        <v>1</v>
      </c>
      <c r="H50" s="256">
        <v>14.05</v>
      </c>
      <c r="I50" s="256">
        <v>17.55</v>
      </c>
      <c r="J50" s="257">
        <f t="shared" si="2"/>
        <v>17.55</v>
      </c>
      <c r="K50">
        <f t="shared" si="1"/>
        <v>14.05</v>
      </c>
    </row>
    <row r="51" spans="2:11" ht="22.5" x14ac:dyDescent="0.25">
      <c r="B51" s="244" t="s">
        <v>3381</v>
      </c>
      <c r="C51" s="244" t="s">
        <v>1464</v>
      </c>
      <c r="D51" s="244" t="s">
        <v>2882</v>
      </c>
      <c r="E51" s="245" t="s">
        <v>3382</v>
      </c>
      <c r="F51" s="244" t="s">
        <v>1082</v>
      </c>
      <c r="G51" s="256">
        <v>17</v>
      </c>
      <c r="H51" s="256">
        <v>7.2</v>
      </c>
      <c r="I51" s="256">
        <v>8.99</v>
      </c>
      <c r="J51" s="257">
        <f t="shared" si="2"/>
        <v>152.83000000000001</v>
      </c>
      <c r="K51">
        <f t="shared" si="1"/>
        <v>122.4</v>
      </c>
    </row>
    <row r="52" spans="2:11" ht="22.5" x14ac:dyDescent="0.25">
      <c r="B52" s="244" t="s">
        <v>3383</v>
      </c>
      <c r="C52" s="244" t="s">
        <v>1571</v>
      </c>
      <c r="D52" s="244" t="s">
        <v>504</v>
      </c>
      <c r="E52" s="245" t="s">
        <v>3384</v>
      </c>
      <c r="F52" s="244" t="s">
        <v>1082</v>
      </c>
      <c r="G52" s="256">
        <v>6</v>
      </c>
      <c r="H52" s="256">
        <v>6.36</v>
      </c>
      <c r="I52" s="256">
        <v>7.95</v>
      </c>
      <c r="J52" s="257">
        <f t="shared" si="2"/>
        <v>47.7</v>
      </c>
      <c r="K52">
        <f t="shared" si="1"/>
        <v>38.160000000000004</v>
      </c>
    </row>
    <row r="53" spans="2:11" ht="22.5" x14ac:dyDescent="0.25">
      <c r="B53" s="244" t="s">
        <v>3385</v>
      </c>
      <c r="C53" s="244" t="s">
        <v>1580</v>
      </c>
      <c r="D53" s="244" t="s">
        <v>504</v>
      </c>
      <c r="E53" s="245" t="s">
        <v>1581</v>
      </c>
      <c r="F53" s="244" t="s">
        <v>1082</v>
      </c>
      <c r="G53" s="256">
        <v>3</v>
      </c>
      <c r="H53" s="256">
        <v>37.78</v>
      </c>
      <c r="I53" s="256">
        <v>47.2</v>
      </c>
      <c r="J53" s="257">
        <f t="shared" si="2"/>
        <v>141.60000000000002</v>
      </c>
      <c r="K53">
        <f t="shared" si="1"/>
        <v>113.34</v>
      </c>
    </row>
    <row r="54" spans="2:11" x14ac:dyDescent="0.25">
      <c r="B54" s="244" t="s">
        <v>3386</v>
      </c>
      <c r="C54" s="244" t="s">
        <v>1574</v>
      </c>
      <c r="D54" s="244" t="s">
        <v>504</v>
      </c>
      <c r="E54" s="245" t="s">
        <v>1575</v>
      </c>
      <c r="F54" s="244" t="s">
        <v>1082</v>
      </c>
      <c r="G54" s="256">
        <v>94</v>
      </c>
      <c r="H54" s="256">
        <v>35.75</v>
      </c>
      <c r="I54" s="256">
        <v>44.66</v>
      </c>
      <c r="J54" s="257">
        <f t="shared" si="2"/>
        <v>4198.04</v>
      </c>
      <c r="K54">
        <f t="shared" si="1"/>
        <v>3360.5</v>
      </c>
    </row>
    <row r="55" spans="2:11" x14ac:dyDescent="0.25">
      <c r="B55" s="660" t="s">
        <v>3294</v>
      </c>
      <c r="C55" s="660"/>
      <c r="D55" s="660"/>
      <c r="E55" s="250" t="s">
        <v>3387</v>
      </c>
      <c r="F55" s="660"/>
      <c r="G55" s="260"/>
      <c r="H55" s="260"/>
      <c r="I55" s="260"/>
      <c r="J55" s="260"/>
      <c r="K55">
        <f t="shared" si="1"/>
        <v>0</v>
      </c>
    </row>
    <row r="56" spans="2:11" x14ac:dyDescent="0.25">
      <c r="B56" s="252" t="s">
        <v>3296</v>
      </c>
      <c r="C56" s="252"/>
      <c r="D56" s="252"/>
      <c r="E56" s="253" t="s">
        <v>3297</v>
      </c>
      <c r="F56" s="252"/>
      <c r="G56" s="254"/>
      <c r="H56" s="255"/>
      <c r="I56" s="255"/>
      <c r="J56" s="255"/>
      <c r="K56">
        <f t="shared" si="1"/>
        <v>0</v>
      </c>
    </row>
    <row r="57" spans="2:11" ht="33.75" x14ac:dyDescent="0.25">
      <c r="B57" s="244" t="s">
        <v>3298</v>
      </c>
      <c r="C57" s="244" t="s">
        <v>1512</v>
      </c>
      <c r="D57" s="244" t="s">
        <v>2882</v>
      </c>
      <c r="E57" s="245" t="s">
        <v>3299</v>
      </c>
      <c r="F57" s="244" t="s">
        <v>473</v>
      </c>
      <c r="G57" s="256">
        <v>4.95</v>
      </c>
      <c r="H57" s="257">
        <v>31.17</v>
      </c>
      <c r="I57" s="257">
        <v>38.94</v>
      </c>
      <c r="J57" s="257">
        <f>ROUND(G57*I57,2)</f>
        <v>192.75</v>
      </c>
      <c r="K57">
        <f t="shared" si="1"/>
        <v>154.29150000000001</v>
      </c>
    </row>
    <row r="58" spans="2:11" ht="33.75" x14ac:dyDescent="0.25">
      <c r="B58" s="244" t="s">
        <v>3300</v>
      </c>
      <c r="C58" s="244" t="s">
        <v>1515</v>
      </c>
      <c r="D58" s="244" t="s">
        <v>2882</v>
      </c>
      <c r="E58" s="245" t="s">
        <v>3301</v>
      </c>
      <c r="F58" s="244" t="s">
        <v>473</v>
      </c>
      <c r="G58" s="256">
        <v>47.014000000000003</v>
      </c>
      <c r="H58" s="257">
        <v>46.45</v>
      </c>
      <c r="I58" s="257">
        <v>58.03</v>
      </c>
      <c r="J58" s="257">
        <f>ROUND(G58*I58,2)</f>
        <v>2728.22</v>
      </c>
      <c r="K58">
        <f t="shared" si="1"/>
        <v>2183.8003000000003</v>
      </c>
    </row>
    <row r="59" spans="2:11" ht="33.75" x14ac:dyDescent="0.25">
      <c r="B59" s="244" t="s">
        <v>3302</v>
      </c>
      <c r="C59" s="244" t="s">
        <v>1518</v>
      </c>
      <c r="D59" s="244" t="s">
        <v>2882</v>
      </c>
      <c r="E59" s="245" t="s">
        <v>3303</v>
      </c>
      <c r="F59" s="244" t="s">
        <v>473</v>
      </c>
      <c r="G59" s="256">
        <v>15.35</v>
      </c>
      <c r="H59" s="257">
        <v>21.08</v>
      </c>
      <c r="I59" s="257">
        <v>26.34</v>
      </c>
      <c r="J59" s="257">
        <f>ROUND(G59*I59,2)</f>
        <v>404.32</v>
      </c>
      <c r="K59">
        <f t="shared" si="1"/>
        <v>323.57799999999997</v>
      </c>
    </row>
    <row r="60" spans="2:11" ht="33.75" x14ac:dyDescent="0.25">
      <c r="B60" s="244" t="s">
        <v>3304</v>
      </c>
      <c r="C60" s="244" t="s">
        <v>1521</v>
      </c>
      <c r="D60" s="244" t="s">
        <v>2882</v>
      </c>
      <c r="E60" s="245" t="s">
        <v>3305</v>
      </c>
      <c r="F60" s="244" t="s">
        <v>473</v>
      </c>
      <c r="G60" s="256">
        <v>122.44</v>
      </c>
      <c r="H60" s="257">
        <v>36.130000000000003</v>
      </c>
      <c r="I60" s="257">
        <v>45.14</v>
      </c>
      <c r="J60" s="257">
        <f>ROUND(G60*I60,2)</f>
        <v>5526.94</v>
      </c>
      <c r="K60">
        <f t="shared" si="1"/>
        <v>4423.7572</v>
      </c>
    </row>
    <row r="61" spans="2:11" ht="33.75" x14ac:dyDescent="0.25">
      <c r="B61" s="244" t="s">
        <v>3306</v>
      </c>
      <c r="C61" s="244" t="s">
        <v>1524</v>
      </c>
      <c r="D61" s="244" t="s">
        <v>2882</v>
      </c>
      <c r="E61" s="245" t="s">
        <v>3307</v>
      </c>
      <c r="F61" s="244" t="s">
        <v>473</v>
      </c>
      <c r="G61" s="256">
        <v>21.69</v>
      </c>
      <c r="H61" s="257">
        <v>11.96</v>
      </c>
      <c r="I61" s="257">
        <v>14.94</v>
      </c>
      <c r="J61" s="257">
        <f>ROUND(G61*I61,2)</f>
        <v>324.05</v>
      </c>
      <c r="K61">
        <f t="shared" si="1"/>
        <v>259.41240000000005</v>
      </c>
    </row>
    <row r="62" spans="2:11" x14ac:dyDescent="0.25">
      <c r="B62" s="252" t="s">
        <v>3310</v>
      </c>
      <c r="C62" s="252"/>
      <c r="D62" s="252"/>
      <c r="E62" s="253" t="s">
        <v>3311</v>
      </c>
      <c r="F62" s="252"/>
      <c r="G62" s="254"/>
      <c r="H62" s="255"/>
      <c r="I62" s="255"/>
      <c r="J62" s="255"/>
      <c r="K62">
        <f t="shared" si="1"/>
        <v>0</v>
      </c>
    </row>
    <row r="63" spans="2:11" x14ac:dyDescent="0.25">
      <c r="B63" s="261" t="s">
        <v>3312</v>
      </c>
      <c r="C63" s="261"/>
      <c r="D63" s="261"/>
      <c r="E63" s="262" t="s">
        <v>3313</v>
      </c>
      <c r="F63" s="261"/>
      <c r="G63" s="263"/>
      <c r="H63" s="264"/>
      <c r="I63" s="264"/>
      <c r="J63" s="264"/>
      <c r="K63">
        <f t="shared" si="1"/>
        <v>0</v>
      </c>
    </row>
    <row r="64" spans="2:11" x14ac:dyDescent="0.25">
      <c r="B64" s="244" t="s">
        <v>3314</v>
      </c>
      <c r="C64" s="244" t="s">
        <v>1446</v>
      </c>
      <c r="D64" s="244" t="s">
        <v>2882</v>
      </c>
      <c r="E64" s="245" t="s">
        <v>3315</v>
      </c>
      <c r="F64" s="244" t="s">
        <v>1082</v>
      </c>
      <c r="G64" s="256">
        <v>6</v>
      </c>
      <c r="H64" s="257">
        <v>277.81</v>
      </c>
      <c r="I64" s="257">
        <v>347.07</v>
      </c>
      <c r="J64" s="257">
        <f>ROUND(G64*I64,2)</f>
        <v>2082.42</v>
      </c>
      <c r="K64">
        <f t="shared" si="1"/>
        <v>1666.8600000000001</v>
      </c>
    </row>
    <row r="65" spans="2:11" x14ac:dyDescent="0.25">
      <c r="B65" s="261" t="s">
        <v>3318</v>
      </c>
      <c r="C65" s="261"/>
      <c r="D65" s="261"/>
      <c r="E65" s="262" t="s">
        <v>3319</v>
      </c>
      <c r="F65" s="261"/>
      <c r="G65" s="263"/>
      <c r="H65" s="264"/>
      <c r="I65" s="264"/>
      <c r="J65" s="266"/>
      <c r="K65">
        <f t="shared" si="1"/>
        <v>0</v>
      </c>
    </row>
    <row r="66" spans="2:11" x14ac:dyDescent="0.25">
      <c r="B66" s="244" t="s">
        <v>3320</v>
      </c>
      <c r="C66" s="244" t="s">
        <v>1527</v>
      </c>
      <c r="D66" s="244" t="s">
        <v>2956</v>
      </c>
      <c r="E66" s="245" t="s">
        <v>3321</v>
      </c>
      <c r="F66" s="244" t="s">
        <v>1082</v>
      </c>
      <c r="G66" s="256">
        <v>4</v>
      </c>
      <c r="H66" s="257">
        <v>181.41</v>
      </c>
      <c r="I66" s="257">
        <v>226.64</v>
      </c>
      <c r="J66" s="257">
        <f>ROUND(G66*I66,2)</f>
        <v>906.56</v>
      </c>
      <c r="K66">
        <f t="shared" si="1"/>
        <v>725.64</v>
      </c>
    </row>
    <row r="67" spans="2:11" x14ac:dyDescent="0.25">
      <c r="B67" s="261" t="s">
        <v>3322</v>
      </c>
      <c r="C67" s="261"/>
      <c r="D67" s="261"/>
      <c r="E67" s="262" t="s">
        <v>3323</v>
      </c>
      <c r="F67" s="261"/>
      <c r="G67" s="263"/>
      <c r="H67" s="264"/>
      <c r="I67" s="264"/>
      <c r="J67" s="266"/>
      <c r="K67">
        <f t="shared" si="1"/>
        <v>0</v>
      </c>
    </row>
    <row r="68" spans="2:11" x14ac:dyDescent="0.25">
      <c r="B68" s="244" t="s">
        <v>3324</v>
      </c>
      <c r="C68" s="244" t="s">
        <v>1527</v>
      </c>
      <c r="D68" s="244" t="s">
        <v>2956</v>
      </c>
      <c r="E68" s="245" t="s">
        <v>3321</v>
      </c>
      <c r="F68" s="244" t="s">
        <v>1082</v>
      </c>
      <c r="G68" s="256">
        <v>2</v>
      </c>
      <c r="H68" s="257">
        <v>181.41</v>
      </c>
      <c r="I68" s="257">
        <v>226.64</v>
      </c>
      <c r="J68" s="257">
        <f>ROUND(G68*I68,2)</f>
        <v>453.28</v>
      </c>
      <c r="K68">
        <f t="shared" si="1"/>
        <v>362.82</v>
      </c>
    </row>
    <row r="69" spans="2:11" x14ac:dyDescent="0.25">
      <c r="B69" s="252" t="s">
        <v>3325</v>
      </c>
      <c r="C69" s="252"/>
      <c r="D69" s="252"/>
      <c r="E69" s="253" t="s">
        <v>3326</v>
      </c>
      <c r="F69" s="252"/>
      <c r="G69" s="254"/>
      <c r="H69" s="255"/>
      <c r="I69" s="255"/>
      <c r="J69" s="255"/>
      <c r="K69">
        <f t="shared" si="1"/>
        <v>0</v>
      </c>
    </row>
    <row r="70" spans="2:11" ht="33.75" x14ac:dyDescent="0.25">
      <c r="B70" s="244" t="s">
        <v>3327</v>
      </c>
      <c r="C70" s="244" t="s">
        <v>1473</v>
      </c>
      <c r="D70" s="244" t="s">
        <v>2882</v>
      </c>
      <c r="E70" s="245" t="s">
        <v>3330</v>
      </c>
      <c r="F70" s="244" t="s">
        <v>1082</v>
      </c>
      <c r="G70" s="256">
        <v>4</v>
      </c>
      <c r="H70" s="257">
        <v>4.63</v>
      </c>
      <c r="I70" s="257">
        <v>5.78</v>
      </c>
      <c r="J70" s="257">
        <f>ROUND(G70*I70,2)</f>
        <v>23.12</v>
      </c>
      <c r="K70">
        <f t="shared" si="1"/>
        <v>18.52</v>
      </c>
    </row>
    <row r="71" spans="2:11" ht="33.75" x14ac:dyDescent="0.25">
      <c r="B71" s="244" t="s">
        <v>3329</v>
      </c>
      <c r="C71" s="244" t="s">
        <v>1470</v>
      </c>
      <c r="D71" s="244" t="s">
        <v>2882</v>
      </c>
      <c r="E71" s="245" t="s">
        <v>3338</v>
      </c>
      <c r="F71" s="244" t="s">
        <v>1082</v>
      </c>
      <c r="G71" s="256">
        <v>8</v>
      </c>
      <c r="H71" s="257">
        <v>4.47</v>
      </c>
      <c r="I71" s="257">
        <v>5.58</v>
      </c>
      <c r="J71" s="257">
        <f t="shared" ref="J71:J79" si="3">ROUND(G71*I71,2)</f>
        <v>44.64</v>
      </c>
      <c r="K71">
        <f t="shared" si="1"/>
        <v>35.76</v>
      </c>
    </row>
    <row r="72" spans="2:11" ht="33.75" x14ac:dyDescent="0.25">
      <c r="B72" s="244" t="s">
        <v>3331</v>
      </c>
      <c r="C72" s="244" t="s">
        <v>1476</v>
      </c>
      <c r="D72" s="244" t="s">
        <v>2882</v>
      </c>
      <c r="E72" s="245" t="s">
        <v>3344</v>
      </c>
      <c r="F72" s="244" t="s">
        <v>1082</v>
      </c>
      <c r="G72" s="256">
        <v>28</v>
      </c>
      <c r="H72" s="257">
        <v>5.81</v>
      </c>
      <c r="I72" s="257">
        <v>7.26</v>
      </c>
      <c r="J72" s="257">
        <f t="shared" si="3"/>
        <v>203.28</v>
      </c>
      <c r="K72">
        <f t="shared" si="1"/>
        <v>162.67999999999998</v>
      </c>
    </row>
    <row r="73" spans="2:11" ht="33.75" x14ac:dyDescent="0.25">
      <c r="B73" s="244" t="s">
        <v>3333</v>
      </c>
      <c r="C73" s="244" t="s">
        <v>1488</v>
      </c>
      <c r="D73" s="244" t="s">
        <v>2882</v>
      </c>
      <c r="E73" s="245" t="s">
        <v>3346</v>
      </c>
      <c r="F73" s="244" t="s">
        <v>1082</v>
      </c>
      <c r="G73" s="256">
        <v>5</v>
      </c>
      <c r="H73" s="257">
        <v>13.19</v>
      </c>
      <c r="I73" s="257">
        <v>16.48</v>
      </c>
      <c r="J73" s="257">
        <f t="shared" si="3"/>
        <v>82.4</v>
      </c>
      <c r="K73">
        <f t="shared" si="1"/>
        <v>65.95</v>
      </c>
    </row>
    <row r="74" spans="2:11" x14ac:dyDescent="0.25">
      <c r="B74" s="244" t="s">
        <v>3335</v>
      </c>
      <c r="C74" s="244" t="s">
        <v>1533</v>
      </c>
      <c r="D74" s="244" t="s">
        <v>2956</v>
      </c>
      <c r="E74" s="245" t="s">
        <v>3350</v>
      </c>
      <c r="F74" s="244" t="s">
        <v>1082</v>
      </c>
      <c r="G74" s="256">
        <v>7</v>
      </c>
      <c r="H74" s="257">
        <v>17.95</v>
      </c>
      <c r="I74" s="257">
        <v>22.42</v>
      </c>
      <c r="J74" s="257">
        <f t="shared" si="3"/>
        <v>156.94</v>
      </c>
      <c r="K74">
        <f t="shared" ref="K74:K137" si="4">G74*H74</f>
        <v>125.64999999999999</v>
      </c>
    </row>
    <row r="75" spans="2:11" x14ac:dyDescent="0.25">
      <c r="B75" s="244" t="s">
        <v>3337</v>
      </c>
      <c r="C75" s="244" t="s">
        <v>1264</v>
      </c>
      <c r="D75" s="244" t="s">
        <v>2956</v>
      </c>
      <c r="E75" s="245" t="s">
        <v>3354</v>
      </c>
      <c r="F75" s="244" t="s">
        <v>1082</v>
      </c>
      <c r="G75" s="256">
        <v>3</v>
      </c>
      <c r="H75" s="257">
        <v>121.83</v>
      </c>
      <c r="I75" s="257">
        <v>152.19999999999999</v>
      </c>
      <c r="J75" s="257">
        <f t="shared" si="3"/>
        <v>456.6</v>
      </c>
      <c r="K75">
        <f t="shared" si="4"/>
        <v>365.49</v>
      </c>
    </row>
    <row r="76" spans="2:11" x14ac:dyDescent="0.25">
      <c r="B76" s="244" t="s">
        <v>3339</v>
      </c>
      <c r="C76" s="244" t="s">
        <v>1544</v>
      </c>
      <c r="D76" s="244" t="s">
        <v>2956</v>
      </c>
      <c r="E76" s="245" t="s">
        <v>3364</v>
      </c>
      <c r="F76" s="244" t="s">
        <v>1082</v>
      </c>
      <c r="G76" s="256">
        <v>4</v>
      </c>
      <c r="H76" s="257">
        <v>22.49</v>
      </c>
      <c r="I76" s="257">
        <v>28.1</v>
      </c>
      <c r="J76" s="257">
        <f t="shared" si="3"/>
        <v>112.4</v>
      </c>
      <c r="K76">
        <f t="shared" si="4"/>
        <v>89.96</v>
      </c>
    </row>
    <row r="77" spans="2:11" ht="33.75" x14ac:dyDescent="0.25">
      <c r="B77" s="244" t="s">
        <v>3341</v>
      </c>
      <c r="C77" s="244" t="s">
        <v>1500</v>
      </c>
      <c r="D77" s="244" t="s">
        <v>2882</v>
      </c>
      <c r="E77" s="245" t="s">
        <v>3366</v>
      </c>
      <c r="F77" s="244" t="s">
        <v>1082</v>
      </c>
      <c r="G77" s="256">
        <v>5</v>
      </c>
      <c r="H77" s="257">
        <v>10.85</v>
      </c>
      <c r="I77" s="257">
        <v>13.55</v>
      </c>
      <c r="J77" s="257">
        <f t="shared" si="3"/>
        <v>67.75</v>
      </c>
      <c r="K77">
        <f t="shared" si="4"/>
        <v>54.25</v>
      </c>
    </row>
    <row r="78" spans="2:11" ht="22.5" x14ac:dyDescent="0.25">
      <c r="B78" s="244" t="s">
        <v>3343</v>
      </c>
      <c r="C78" s="244" t="s">
        <v>1464</v>
      </c>
      <c r="D78" s="244" t="s">
        <v>2882</v>
      </c>
      <c r="E78" s="245" t="s">
        <v>3382</v>
      </c>
      <c r="F78" s="244" t="s">
        <v>1082</v>
      </c>
      <c r="G78" s="256">
        <v>2</v>
      </c>
      <c r="H78" s="257">
        <v>7.2</v>
      </c>
      <c r="I78" s="257">
        <v>8.99</v>
      </c>
      <c r="J78" s="257">
        <f t="shared" si="3"/>
        <v>17.98</v>
      </c>
      <c r="K78">
        <f t="shared" si="4"/>
        <v>14.4</v>
      </c>
    </row>
    <row r="79" spans="2:11" x14ac:dyDescent="0.25">
      <c r="B79" s="244" t="s">
        <v>3345</v>
      </c>
      <c r="C79" s="244" t="s">
        <v>1574</v>
      </c>
      <c r="D79" s="244" t="s">
        <v>504</v>
      </c>
      <c r="E79" s="245" t="s">
        <v>1575</v>
      </c>
      <c r="F79" s="244" t="s">
        <v>1082</v>
      </c>
      <c r="G79" s="256">
        <v>5</v>
      </c>
      <c r="H79" s="257">
        <v>35.75</v>
      </c>
      <c r="I79" s="257">
        <v>44.66</v>
      </c>
      <c r="J79" s="257">
        <f t="shared" si="3"/>
        <v>223.3</v>
      </c>
      <c r="K79">
        <f t="shared" si="4"/>
        <v>178.75</v>
      </c>
    </row>
    <row r="80" spans="2:11" x14ac:dyDescent="0.25">
      <c r="B80" s="660" t="s">
        <v>3294</v>
      </c>
      <c r="C80" s="660"/>
      <c r="D80" s="660"/>
      <c r="E80" s="250" t="s">
        <v>3388</v>
      </c>
      <c r="F80" s="660"/>
      <c r="G80" s="260"/>
      <c r="H80" s="260"/>
      <c r="I80" s="260"/>
      <c r="J80" s="260"/>
      <c r="K80">
        <f t="shared" si="4"/>
        <v>0</v>
      </c>
    </row>
    <row r="81" spans="2:11" x14ac:dyDescent="0.25">
      <c r="B81" s="252" t="s">
        <v>3296</v>
      </c>
      <c r="C81" s="252"/>
      <c r="D81" s="252"/>
      <c r="E81" s="253" t="s">
        <v>3297</v>
      </c>
      <c r="F81" s="252"/>
      <c r="G81" s="254"/>
      <c r="H81" s="255"/>
      <c r="I81" s="255"/>
      <c r="J81" s="255"/>
      <c r="K81">
        <f t="shared" si="4"/>
        <v>0</v>
      </c>
    </row>
    <row r="82" spans="2:11" ht="33.75" x14ac:dyDescent="0.25">
      <c r="B82" s="244" t="s">
        <v>3298</v>
      </c>
      <c r="C82" s="244" t="s">
        <v>1512</v>
      </c>
      <c r="D82" s="244" t="s">
        <v>2882</v>
      </c>
      <c r="E82" s="259" t="s">
        <v>3299</v>
      </c>
      <c r="F82" s="244" t="s">
        <v>473</v>
      </c>
      <c r="G82" s="256">
        <v>73.7</v>
      </c>
      <c r="H82" s="256">
        <v>31.17</v>
      </c>
      <c r="I82" s="256">
        <v>38.94</v>
      </c>
      <c r="J82" s="257">
        <f>ROUND(G82*I82,2)</f>
        <v>2869.88</v>
      </c>
      <c r="K82">
        <f t="shared" si="4"/>
        <v>2297.2290000000003</v>
      </c>
    </row>
    <row r="83" spans="2:11" ht="33.75" x14ac:dyDescent="0.25">
      <c r="B83" s="244" t="s">
        <v>3300</v>
      </c>
      <c r="C83" s="244" t="s">
        <v>1515</v>
      </c>
      <c r="D83" s="244" t="s">
        <v>2882</v>
      </c>
      <c r="E83" s="259" t="s">
        <v>3301</v>
      </c>
      <c r="F83" s="244" t="s">
        <v>473</v>
      </c>
      <c r="G83" s="256">
        <v>75.900000000000006</v>
      </c>
      <c r="H83" s="256">
        <v>46.45</v>
      </c>
      <c r="I83" s="256">
        <v>58.03</v>
      </c>
      <c r="J83" s="257">
        <f t="shared" ref="J83:J111" si="5">ROUND(G83*I83,2)</f>
        <v>4404.4799999999996</v>
      </c>
      <c r="K83">
        <f t="shared" si="4"/>
        <v>3525.5550000000003</v>
      </c>
    </row>
    <row r="84" spans="2:11" ht="33.75" x14ac:dyDescent="0.25">
      <c r="B84" s="244" t="s">
        <v>3302</v>
      </c>
      <c r="C84" s="244" t="s">
        <v>1518</v>
      </c>
      <c r="D84" s="244" t="s">
        <v>2882</v>
      </c>
      <c r="E84" s="259" t="s">
        <v>3303</v>
      </c>
      <c r="F84" s="244" t="s">
        <v>473</v>
      </c>
      <c r="G84" s="256">
        <v>202.4</v>
      </c>
      <c r="H84" s="256">
        <v>21.08</v>
      </c>
      <c r="I84" s="256">
        <v>26.34</v>
      </c>
      <c r="J84" s="257">
        <f t="shared" si="5"/>
        <v>5331.22</v>
      </c>
      <c r="K84">
        <f t="shared" si="4"/>
        <v>4266.5919999999996</v>
      </c>
    </row>
    <row r="85" spans="2:11" ht="33.75" x14ac:dyDescent="0.25">
      <c r="B85" s="244" t="s">
        <v>3304</v>
      </c>
      <c r="C85" s="244" t="s">
        <v>1521</v>
      </c>
      <c r="D85" s="244" t="s">
        <v>2882</v>
      </c>
      <c r="E85" s="259" t="s">
        <v>3305</v>
      </c>
      <c r="F85" s="244" t="s">
        <v>473</v>
      </c>
      <c r="G85" s="256">
        <v>322.3</v>
      </c>
      <c r="H85" s="256">
        <v>36.130000000000003</v>
      </c>
      <c r="I85" s="256">
        <v>45.14</v>
      </c>
      <c r="J85" s="257">
        <f t="shared" si="5"/>
        <v>14548.62</v>
      </c>
      <c r="K85">
        <f t="shared" si="4"/>
        <v>11644.699000000001</v>
      </c>
    </row>
    <row r="86" spans="2:11" ht="33.75" x14ac:dyDescent="0.25">
      <c r="B86" s="244" t="s">
        <v>3306</v>
      </c>
      <c r="C86" s="244" t="s">
        <v>1524</v>
      </c>
      <c r="D86" s="244" t="s">
        <v>2882</v>
      </c>
      <c r="E86" s="259" t="s">
        <v>3307</v>
      </c>
      <c r="F86" s="244" t="s">
        <v>473</v>
      </c>
      <c r="G86" s="256">
        <v>58.3</v>
      </c>
      <c r="H86" s="256">
        <v>11.96</v>
      </c>
      <c r="I86" s="256">
        <v>14.94</v>
      </c>
      <c r="J86" s="257">
        <f t="shared" si="5"/>
        <v>871</v>
      </c>
      <c r="K86">
        <f t="shared" si="4"/>
        <v>697.26800000000003</v>
      </c>
    </row>
    <row r="87" spans="2:11" x14ac:dyDescent="0.25">
      <c r="B87" s="252" t="s">
        <v>3310</v>
      </c>
      <c r="C87" s="252"/>
      <c r="D87" s="252"/>
      <c r="E87" s="253" t="s">
        <v>3311</v>
      </c>
      <c r="F87" s="252"/>
      <c r="G87" s="254"/>
      <c r="H87" s="255"/>
      <c r="I87" s="255"/>
      <c r="J87" s="255"/>
      <c r="K87">
        <f t="shared" si="4"/>
        <v>0</v>
      </c>
    </row>
    <row r="88" spans="2:11" x14ac:dyDescent="0.25">
      <c r="B88" s="261" t="s">
        <v>3312</v>
      </c>
      <c r="C88" s="261"/>
      <c r="D88" s="261"/>
      <c r="E88" s="265" t="s">
        <v>3313</v>
      </c>
      <c r="F88" s="261"/>
      <c r="G88" s="263"/>
      <c r="H88" s="263"/>
      <c r="I88" s="263"/>
      <c r="J88" s="266"/>
      <c r="K88">
        <f t="shared" si="4"/>
        <v>0</v>
      </c>
    </row>
    <row r="89" spans="2:11" x14ac:dyDescent="0.25">
      <c r="B89" s="244" t="s">
        <v>3314</v>
      </c>
      <c r="C89" s="244" t="s">
        <v>1446</v>
      </c>
      <c r="D89" s="244" t="s">
        <v>2882</v>
      </c>
      <c r="E89" s="259" t="s">
        <v>3315</v>
      </c>
      <c r="F89" s="244" t="s">
        <v>1082</v>
      </c>
      <c r="G89" s="256">
        <v>9</v>
      </c>
      <c r="H89" s="256">
        <v>277.81</v>
      </c>
      <c r="I89" s="256">
        <v>347.07</v>
      </c>
      <c r="J89" s="257">
        <f t="shared" si="5"/>
        <v>3123.63</v>
      </c>
      <c r="K89">
        <f t="shared" si="4"/>
        <v>2500.29</v>
      </c>
    </row>
    <row r="90" spans="2:11" x14ac:dyDescent="0.25">
      <c r="B90" s="261" t="s">
        <v>3318</v>
      </c>
      <c r="C90" s="261"/>
      <c r="D90" s="261"/>
      <c r="E90" s="265" t="s">
        <v>3319</v>
      </c>
      <c r="F90" s="261"/>
      <c r="G90" s="263"/>
      <c r="H90" s="263"/>
      <c r="I90" s="263"/>
      <c r="J90" s="266"/>
      <c r="K90">
        <f t="shared" si="4"/>
        <v>0</v>
      </c>
    </row>
    <row r="91" spans="2:11" x14ac:dyDescent="0.25">
      <c r="B91" s="244" t="s">
        <v>3320</v>
      </c>
      <c r="C91" s="244" t="s">
        <v>1527</v>
      </c>
      <c r="D91" s="244" t="s">
        <v>2956</v>
      </c>
      <c r="E91" s="259" t="s">
        <v>3321</v>
      </c>
      <c r="F91" s="244" t="s">
        <v>1082</v>
      </c>
      <c r="G91" s="256">
        <v>1</v>
      </c>
      <c r="H91" s="256">
        <v>181.41</v>
      </c>
      <c r="I91" s="256">
        <v>226.64</v>
      </c>
      <c r="J91" s="257">
        <f t="shared" si="5"/>
        <v>226.64</v>
      </c>
      <c r="K91">
        <f t="shared" si="4"/>
        <v>181.41</v>
      </c>
    </row>
    <row r="92" spans="2:11" x14ac:dyDescent="0.25">
      <c r="B92" s="261" t="s">
        <v>3322</v>
      </c>
      <c r="C92" s="261"/>
      <c r="D92" s="261"/>
      <c r="E92" s="265" t="s">
        <v>3323</v>
      </c>
      <c r="F92" s="261"/>
      <c r="G92" s="263"/>
      <c r="H92" s="263"/>
      <c r="I92" s="263"/>
      <c r="J92" s="266"/>
      <c r="K92">
        <f t="shared" si="4"/>
        <v>0</v>
      </c>
    </row>
    <row r="93" spans="2:11" x14ac:dyDescent="0.25">
      <c r="B93" s="244" t="s">
        <v>3324</v>
      </c>
      <c r="C93" s="244" t="s">
        <v>1527</v>
      </c>
      <c r="D93" s="244" t="s">
        <v>2956</v>
      </c>
      <c r="E93" s="259" t="s">
        <v>3321</v>
      </c>
      <c r="F93" s="244" t="s">
        <v>1082</v>
      </c>
      <c r="G93" s="256">
        <v>4</v>
      </c>
      <c r="H93" s="256">
        <v>181.41</v>
      </c>
      <c r="I93" s="256">
        <v>226.64</v>
      </c>
      <c r="J93" s="257">
        <f t="shared" si="5"/>
        <v>906.56</v>
      </c>
      <c r="K93">
        <f t="shared" si="4"/>
        <v>725.64</v>
      </c>
    </row>
    <row r="94" spans="2:11" x14ac:dyDescent="0.25">
      <c r="B94" s="252" t="s">
        <v>3325</v>
      </c>
      <c r="C94" s="252"/>
      <c r="D94" s="252"/>
      <c r="E94" s="253" t="s">
        <v>3326</v>
      </c>
      <c r="F94" s="252"/>
      <c r="G94" s="254"/>
      <c r="H94" s="255"/>
      <c r="I94" s="255"/>
      <c r="J94" s="255"/>
      <c r="K94">
        <f t="shared" si="4"/>
        <v>0</v>
      </c>
    </row>
    <row r="95" spans="2:11" ht="33.75" x14ac:dyDescent="0.25">
      <c r="B95" s="244" t="s">
        <v>3327</v>
      </c>
      <c r="C95" s="244" t="s">
        <v>1473</v>
      </c>
      <c r="D95" s="244" t="s">
        <v>2882</v>
      </c>
      <c r="E95" s="259" t="s">
        <v>3330</v>
      </c>
      <c r="F95" s="244" t="s">
        <v>1082</v>
      </c>
      <c r="G95" s="256">
        <v>49</v>
      </c>
      <c r="H95" s="256">
        <v>4.63</v>
      </c>
      <c r="I95" s="256">
        <v>5.78</v>
      </c>
      <c r="J95" s="257">
        <f t="shared" si="5"/>
        <v>283.22000000000003</v>
      </c>
      <c r="K95">
        <f t="shared" si="4"/>
        <v>226.87</v>
      </c>
    </row>
    <row r="96" spans="2:11" ht="33.75" x14ac:dyDescent="0.25">
      <c r="B96" s="244" t="s">
        <v>3329</v>
      </c>
      <c r="C96" s="244" t="s">
        <v>1470</v>
      </c>
      <c r="D96" s="244" t="s">
        <v>2882</v>
      </c>
      <c r="E96" s="259" t="s">
        <v>3338</v>
      </c>
      <c r="F96" s="244" t="s">
        <v>1082</v>
      </c>
      <c r="G96" s="256">
        <v>64</v>
      </c>
      <c r="H96" s="256">
        <v>4.47</v>
      </c>
      <c r="I96" s="256">
        <v>5.58</v>
      </c>
      <c r="J96" s="257">
        <f t="shared" si="5"/>
        <v>357.12</v>
      </c>
      <c r="K96">
        <f t="shared" si="4"/>
        <v>286.08</v>
      </c>
    </row>
    <row r="97" spans="2:11" ht="33.75" x14ac:dyDescent="0.25">
      <c r="B97" s="244" t="s">
        <v>3331</v>
      </c>
      <c r="C97" s="244" t="s">
        <v>1476</v>
      </c>
      <c r="D97" s="244" t="s">
        <v>2882</v>
      </c>
      <c r="E97" s="259" t="s">
        <v>3344</v>
      </c>
      <c r="F97" s="244" t="s">
        <v>1082</v>
      </c>
      <c r="G97" s="256">
        <v>1</v>
      </c>
      <c r="H97" s="256">
        <v>5.81</v>
      </c>
      <c r="I97" s="256">
        <v>7.26</v>
      </c>
      <c r="J97" s="257">
        <f t="shared" si="5"/>
        <v>7.26</v>
      </c>
      <c r="K97">
        <f t="shared" si="4"/>
        <v>5.81</v>
      </c>
    </row>
    <row r="98" spans="2:11" ht="33.75" x14ac:dyDescent="0.25">
      <c r="B98" s="244" t="s">
        <v>3333</v>
      </c>
      <c r="C98" s="244" t="s">
        <v>1488</v>
      </c>
      <c r="D98" s="244" t="s">
        <v>2882</v>
      </c>
      <c r="E98" s="259" t="s">
        <v>3346</v>
      </c>
      <c r="F98" s="244" t="s">
        <v>1082</v>
      </c>
      <c r="G98" s="256">
        <v>32</v>
      </c>
      <c r="H98" s="256">
        <v>13.19</v>
      </c>
      <c r="I98" s="256">
        <v>16.48</v>
      </c>
      <c r="J98" s="257">
        <f t="shared" si="5"/>
        <v>527.36</v>
      </c>
      <c r="K98">
        <f t="shared" si="4"/>
        <v>422.08</v>
      </c>
    </row>
    <row r="99" spans="2:11" ht="33.75" x14ac:dyDescent="0.25">
      <c r="B99" s="244" t="s">
        <v>3335</v>
      </c>
      <c r="C99" s="244" t="s">
        <v>1482</v>
      </c>
      <c r="D99" s="244" t="s">
        <v>2882</v>
      </c>
      <c r="E99" s="259" t="s">
        <v>3348</v>
      </c>
      <c r="F99" s="244" t="s">
        <v>1082</v>
      </c>
      <c r="G99" s="256">
        <v>40</v>
      </c>
      <c r="H99" s="256">
        <v>9.86</v>
      </c>
      <c r="I99" s="256">
        <v>12.32</v>
      </c>
      <c r="J99" s="257">
        <f t="shared" si="5"/>
        <v>492.8</v>
      </c>
      <c r="K99">
        <f t="shared" si="4"/>
        <v>394.4</v>
      </c>
    </row>
    <row r="100" spans="2:11" x14ac:dyDescent="0.25">
      <c r="B100" s="244" t="s">
        <v>3337</v>
      </c>
      <c r="C100" s="244" t="s">
        <v>1533</v>
      </c>
      <c r="D100" s="244" t="s">
        <v>2956</v>
      </c>
      <c r="E100" s="259" t="s">
        <v>3350</v>
      </c>
      <c r="F100" s="244" t="s">
        <v>1082</v>
      </c>
      <c r="G100" s="256">
        <v>5</v>
      </c>
      <c r="H100" s="256">
        <v>17.95</v>
      </c>
      <c r="I100" s="256">
        <v>22.42</v>
      </c>
      <c r="J100" s="257">
        <f t="shared" si="5"/>
        <v>112.1</v>
      </c>
      <c r="K100">
        <f t="shared" si="4"/>
        <v>89.75</v>
      </c>
    </row>
    <row r="101" spans="2:11" x14ac:dyDescent="0.25">
      <c r="B101" s="244" t="s">
        <v>3339</v>
      </c>
      <c r="C101" s="244" t="s">
        <v>1264</v>
      </c>
      <c r="D101" s="244" t="s">
        <v>2956</v>
      </c>
      <c r="E101" s="259" t="s">
        <v>3354</v>
      </c>
      <c r="F101" s="244" t="s">
        <v>1082</v>
      </c>
      <c r="G101" s="256">
        <v>12</v>
      </c>
      <c r="H101" s="256">
        <v>121.83</v>
      </c>
      <c r="I101" s="256">
        <v>152.19999999999999</v>
      </c>
      <c r="J101" s="257">
        <f t="shared" si="5"/>
        <v>1826.4</v>
      </c>
      <c r="K101">
        <f t="shared" si="4"/>
        <v>1461.96</v>
      </c>
    </row>
    <row r="102" spans="2:11" ht="33.75" x14ac:dyDescent="0.25">
      <c r="B102" s="244" t="s">
        <v>3341</v>
      </c>
      <c r="C102" s="244" t="s">
        <v>1506</v>
      </c>
      <c r="D102" s="244" t="s">
        <v>2882</v>
      </c>
      <c r="E102" s="259" t="s">
        <v>3356</v>
      </c>
      <c r="F102" s="244" t="s">
        <v>1082</v>
      </c>
      <c r="G102" s="256">
        <v>17</v>
      </c>
      <c r="H102" s="256">
        <v>24.11</v>
      </c>
      <c r="I102" s="256">
        <v>30.12</v>
      </c>
      <c r="J102" s="257">
        <f t="shared" si="5"/>
        <v>512.04</v>
      </c>
      <c r="K102">
        <f t="shared" si="4"/>
        <v>409.87</v>
      </c>
    </row>
    <row r="103" spans="2:11" x14ac:dyDescent="0.25">
      <c r="B103" s="244" t="s">
        <v>3343</v>
      </c>
      <c r="C103" s="244" t="s">
        <v>1547</v>
      </c>
      <c r="D103" s="244" t="s">
        <v>2956</v>
      </c>
      <c r="E103" s="259" t="s">
        <v>3360</v>
      </c>
      <c r="F103" s="244" t="s">
        <v>1082</v>
      </c>
      <c r="G103" s="256">
        <v>15</v>
      </c>
      <c r="H103" s="256">
        <v>23.99</v>
      </c>
      <c r="I103" s="256">
        <v>29.97</v>
      </c>
      <c r="J103" s="257">
        <f t="shared" si="5"/>
        <v>449.55</v>
      </c>
      <c r="K103">
        <f t="shared" si="4"/>
        <v>359.84999999999997</v>
      </c>
    </row>
    <row r="104" spans="2:11" ht="33.75" x14ac:dyDescent="0.25">
      <c r="B104" s="244" t="s">
        <v>3345</v>
      </c>
      <c r="C104" s="244" t="s">
        <v>1500</v>
      </c>
      <c r="D104" s="244" t="s">
        <v>2882</v>
      </c>
      <c r="E104" s="259" t="s">
        <v>3366</v>
      </c>
      <c r="F104" s="244" t="s">
        <v>1082</v>
      </c>
      <c r="G104" s="256">
        <v>1</v>
      </c>
      <c r="H104" s="256">
        <v>10.85</v>
      </c>
      <c r="I104" s="256">
        <v>13.55</v>
      </c>
      <c r="J104" s="257">
        <f t="shared" si="5"/>
        <v>13.55</v>
      </c>
      <c r="K104">
        <f t="shared" si="4"/>
        <v>10.85</v>
      </c>
    </row>
    <row r="105" spans="2:11" x14ac:dyDescent="0.25">
      <c r="B105" s="244" t="s">
        <v>3347</v>
      </c>
      <c r="C105" s="244" t="s">
        <v>1553</v>
      </c>
      <c r="D105" s="244" t="s">
        <v>2956</v>
      </c>
      <c r="E105" s="259" t="s">
        <v>3370</v>
      </c>
      <c r="F105" s="244" t="s">
        <v>1082</v>
      </c>
      <c r="G105" s="256">
        <v>13</v>
      </c>
      <c r="H105" s="256">
        <v>25.33</v>
      </c>
      <c r="I105" s="256">
        <v>31.64</v>
      </c>
      <c r="J105" s="257">
        <f t="shared" si="5"/>
        <v>411.32</v>
      </c>
      <c r="K105">
        <f t="shared" si="4"/>
        <v>329.28999999999996</v>
      </c>
    </row>
    <row r="106" spans="2:11" x14ac:dyDescent="0.25">
      <c r="B106" s="244" t="s">
        <v>3349</v>
      </c>
      <c r="C106" s="244" t="s">
        <v>1562</v>
      </c>
      <c r="D106" s="244" t="s">
        <v>2956</v>
      </c>
      <c r="E106" s="259" t="s">
        <v>3372</v>
      </c>
      <c r="F106" s="244" t="s">
        <v>1082</v>
      </c>
      <c r="G106" s="256">
        <v>2</v>
      </c>
      <c r="H106" s="256">
        <v>22.44</v>
      </c>
      <c r="I106" s="256">
        <v>28.03</v>
      </c>
      <c r="J106" s="257">
        <f t="shared" si="5"/>
        <v>56.06</v>
      </c>
      <c r="K106">
        <f t="shared" si="4"/>
        <v>44.88</v>
      </c>
    </row>
    <row r="107" spans="2:11" x14ac:dyDescent="0.25">
      <c r="B107" s="244" t="s">
        <v>3351</v>
      </c>
      <c r="C107" s="244" t="s">
        <v>1556</v>
      </c>
      <c r="D107" s="244" t="s">
        <v>2956</v>
      </c>
      <c r="E107" s="259" t="s">
        <v>3389</v>
      </c>
      <c r="F107" s="244" t="s">
        <v>1082</v>
      </c>
      <c r="G107" s="256">
        <v>1</v>
      </c>
      <c r="H107" s="256">
        <v>14.7</v>
      </c>
      <c r="I107" s="256">
        <v>18.36</v>
      </c>
      <c r="J107" s="257">
        <f t="shared" si="5"/>
        <v>18.36</v>
      </c>
      <c r="K107">
        <f t="shared" si="4"/>
        <v>14.7</v>
      </c>
    </row>
    <row r="108" spans="2:11" ht="22.5" x14ac:dyDescent="0.25">
      <c r="B108" s="244" t="s">
        <v>3353</v>
      </c>
      <c r="C108" s="244" t="s">
        <v>1467</v>
      </c>
      <c r="D108" s="244" t="s">
        <v>2882</v>
      </c>
      <c r="E108" s="259" t="s">
        <v>3378</v>
      </c>
      <c r="F108" s="244" t="s">
        <v>1082</v>
      </c>
      <c r="G108" s="256">
        <v>14</v>
      </c>
      <c r="H108" s="256">
        <v>7.56</v>
      </c>
      <c r="I108" s="256">
        <v>9.44</v>
      </c>
      <c r="J108" s="257">
        <f t="shared" si="5"/>
        <v>132.16</v>
      </c>
      <c r="K108">
        <f t="shared" si="4"/>
        <v>105.83999999999999</v>
      </c>
    </row>
    <row r="109" spans="2:11" ht="22.5" x14ac:dyDescent="0.25">
      <c r="B109" s="244" t="s">
        <v>3355</v>
      </c>
      <c r="C109" s="244" t="s">
        <v>1464</v>
      </c>
      <c r="D109" s="244" t="s">
        <v>2882</v>
      </c>
      <c r="E109" s="259" t="s">
        <v>3382</v>
      </c>
      <c r="F109" s="244" t="s">
        <v>1082</v>
      </c>
      <c r="G109" s="256">
        <v>1</v>
      </c>
      <c r="H109" s="256">
        <v>7.2</v>
      </c>
      <c r="I109" s="256">
        <v>8.99</v>
      </c>
      <c r="J109" s="257">
        <f t="shared" si="5"/>
        <v>8.99</v>
      </c>
      <c r="K109">
        <f t="shared" si="4"/>
        <v>7.2</v>
      </c>
    </row>
    <row r="110" spans="2:11" ht="22.5" x14ac:dyDescent="0.25">
      <c r="B110" s="244" t="s">
        <v>3357</v>
      </c>
      <c r="C110" s="244" t="s">
        <v>1571</v>
      </c>
      <c r="D110" s="244" t="s">
        <v>504</v>
      </c>
      <c r="E110" s="259" t="s">
        <v>3384</v>
      </c>
      <c r="F110" s="244" t="s">
        <v>1082</v>
      </c>
      <c r="G110" s="256">
        <v>10</v>
      </c>
      <c r="H110" s="256">
        <v>6.36</v>
      </c>
      <c r="I110" s="256">
        <v>7.95</v>
      </c>
      <c r="J110" s="257">
        <f t="shared" si="5"/>
        <v>79.5</v>
      </c>
      <c r="K110">
        <f t="shared" si="4"/>
        <v>63.6</v>
      </c>
    </row>
    <row r="111" spans="2:11" x14ac:dyDescent="0.25">
      <c r="B111" s="244" t="s">
        <v>3359</v>
      </c>
      <c r="C111" s="244" t="s">
        <v>1574</v>
      </c>
      <c r="D111" s="244" t="s">
        <v>504</v>
      </c>
      <c r="E111" s="259" t="s">
        <v>1575</v>
      </c>
      <c r="F111" s="244" t="s">
        <v>1082</v>
      </c>
      <c r="G111" s="256">
        <v>30</v>
      </c>
      <c r="H111" s="256">
        <v>35.75</v>
      </c>
      <c r="I111" s="256">
        <v>44.66</v>
      </c>
      <c r="J111" s="257">
        <f t="shared" si="5"/>
        <v>1339.8</v>
      </c>
      <c r="K111">
        <f t="shared" si="4"/>
        <v>1072.5</v>
      </c>
    </row>
    <row r="112" spans="2:11" x14ac:dyDescent="0.25">
      <c r="B112" s="660" t="s">
        <v>3294</v>
      </c>
      <c r="C112" s="660"/>
      <c r="D112" s="660"/>
      <c r="E112" s="250" t="s">
        <v>3390</v>
      </c>
      <c r="F112" s="660"/>
      <c r="G112" s="260"/>
      <c r="H112" s="260"/>
      <c r="I112" s="260"/>
      <c r="J112" s="260"/>
      <c r="K112">
        <f t="shared" si="4"/>
        <v>0</v>
      </c>
    </row>
    <row r="113" spans="2:11" x14ac:dyDescent="0.25">
      <c r="B113" s="252" t="s">
        <v>3296</v>
      </c>
      <c r="C113" s="252"/>
      <c r="D113" s="252"/>
      <c r="E113" s="253" t="s">
        <v>3297</v>
      </c>
      <c r="F113" s="252"/>
      <c r="G113" s="254"/>
      <c r="H113" s="255"/>
      <c r="I113" s="255"/>
      <c r="J113" s="255"/>
      <c r="K113">
        <f t="shared" si="4"/>
        <v>0</v>
      </c>
    </row>
    <row r="114" spans="2:11" ht="33.75" x14ac:dyDescent="0.25">
      <c r="B114" s="244" t="s">
        <v>3298</v>
      </c>
      <c r="C114" s="244" t="s">
        <v>1512</v>
      </c>
      <c r="D114" s="244" t="s">
        <v>2882</v>
      </c>
      <c r="E114" s="245" t="s">
        <v>3299</v>
      </c>
      <c r="F114" s="244" t="s">
        <v>473</v>
      </c>
      <c r="G114" s="256">
        <v>39.380000000000003</v>
      </c>
      <c r="H114" s="256">
        <v>31.17</v>
      </c>
      <c r="I114" s="256">
        <v>38.94</v>
      </c>
      <c r="J114" s="257">
        <v>1533.46</v>
      </c>
      <c r="K114">
        <f t="shared" si="4"/>
        <v>1227.4746000000002</v>
      </c>
    </row>
    <row r="115" spans="2:11" ht="33.75" x14ac:dyDescent="0.25">
      <c r="B115" s="244" t="s">
        <v>3300</v>
      </c>
      <c r="C115" s="244" t="s">
        <v>1515</v>
      </c>
      <c r="D115" s="244" t="s">
        <v>2882</v>
      </c>
      <c r="E115" s="245" t="s">
        <v>3301</v>
      </c>
      <c r="F115" s="244" t="s">
        <v>473</v>
      </c>
      <c r="G115" s="256">
        <v>141.9</v>
      </c>
      <c r="H115" s="256">
        <v>46.45</v>
      </c>
      <c r="I115" s="256">
        <v>58.03</v>
      </c>
      <c r="J115" s="257">
        <v>8234.4599999999991</v>
      </c>
      <c r="K115">
        <f t="shared" si="4"/>
        <v>6591.255000000001</v>
      </c>
    </row>
    <row r="116" spans="2:11" ht="33.75" x14ac:dyDescent="0.25">
      <c r="B116" s="244" t="s">
        <v>3302</v>
      </c>
      <c r="C116" s="244" t="s">
        <v>1518</v>
      </c>
      <c r="D116" s="244" t="s">
        <v>2882</v>
      </c>
      <c r="E116" s="245" t="s">
        <v>3303</v>
      </c>
      <c r="F116" s="244" t="s">
        <v>473</v>
      </c>
      <c r="G116" s="256">
        <v>97.35</v>
      </c>
      <c r="H116" s="256">
        <v>21.08</v>
      </c>
      <c r="I116" s="256">
        <v>26.34</v>
      </c>
      <c r="J116" s="257">
        <v>2564.1999999999998</v>
      </c>
      <c r="K116">
        <f t="shared" si="4"/>
        <v>2052.1379999999999</v>
      </c>
    </row>
    <row r="117" spans="2:11" ht="33.75" x14ac:dyDescent="0.25">
      <c r="B117" s="244" t="s">
        <v>3304</v>
      </c>
      <c r="C117" s="244" t="s">
        <v>1521</v>
      </c>
      <c r="D117" s="244" t="s">
        <v>2882</v>
      </c>
      <c r="E117" s="245" t="s">
        <v>3305</v>
      </c>
      <c r="F117" s="244" t="s">
        <v>473</v>
      </c>
      <c r="G117" s="256">
        <v>128.47999999999999</v>
      </c>
      <c r="H117" s="256">
        <v>36.130000000000003</v>
      </c>
      <c r="I117" s="256">
        <v>45.14</v>
      </c>
      <c r="J117" s="257">
        <v>5799.59</v>
      </c>
      <c r="K117">
        <f t="shared" si="4"/>
        <v>4641.9823999999999</v>
      </c>
    </row>
    <row r="118" spans="2:11" x14ac:dyDescent="0.25">
      <c r="B118" s="244" t="s">
        <v>3306</v>
      </c>
      <c r="C118" s="244" t="s">
        <v>1568</v>
      </c>
      <c r="D118" s="244" t="s">
        <v>2956</v>
      </c>
      <c r="E118" s="245" t="s">
        <v>3309</v>
      </c>
      <c r="F118" s="244" t="s">
        <v>473</v>
      </c>
      <c r="G118" s="256">
        <v>7.48</v>
      </c>
      <c r="H118" s="256">
        <v>23.39</v>
      </c>
      <c r="I118" s="256">
        <v>29.22</v>
      </c>
      <c r="J118" s="257">
        <v>218.57</v>
      </c>
      <c r="K118">
        <f t="shared" si="4"/>
        <v>174.9572</v>
      </c>
    </row>
    <row r="119" spans="2:11" x14ac:dyDescent="0.25">
      <c r="B119" s="252" t="s">
        <v>3310</v>
      </c>
      <c r="C119" s="252"/>
      <c r="D119" s="252"/>
      <c r="E119" s="253" t="s">
        <v>3391</v>
      </c>
      <c r="F119" s="252"/>
      <c r="G119" s="254"/>
      <c r="H119" s="255"/>
      <c r="I119" s="255"/>
      <c r="J119" s="255"/>
      <c r="K119">
        <f t="shared" si="4"/>
        <v>0</v>
      </c>
    </row>
    <row r="120" spans="2:11" x14ac:dyDescent="0.25">
      <c r="B120" s="261" t="s">
        <v>3312</v>
      </c>
      <c r="C120" s="261"/>
      <c r="D120" s="261"/>
      <c r="E120" s="262" t="s">
        <v>3313</v>
      </c>
      <c r="F120" s="261"/>
      <c r="G120" s="263"/>
      <c r="H120" s="263"/>
      <c r="I120" s="263"/>
      <c r="J120" s="264"/>
      <c r="K120">
        <f t="shared" si="4"/>
        <v>0</v>
      </c>
    </row>
    <row r="121" spans="2:11" x14ac:dyDescent="0.25">
      <c r="B121" s="244" t="s">
        <v>3314</v>
      </c>
      <c r="C121" s="244" t="s">
        <v>1446</v>
      </c>
      <c r="D121" s="244" t="s">
        <v>2882</v>
      </c>
      <c r="E121" s="245" t="s">
        <v>3315</v>
      </c>
      <c r="F121" s="244" t="s">
        <v>1082</v>
      </c>
      <c r="G121" s="256">
        <v>10</v>
      </c>
      <c r="H121" s="256">
        <v>277.81</v>
      </c>
      <c r="I121" s="256">
        <v>347.07</v>
      </c>
      <c r="J121" s="257">
        <f>ROUND(G121*I121,2)</f>
        <v>3470.7</v>
      </c>
      <c r="K121">
        <f t="shared" si="4"/>
        <v>2778.1</v>
      </c>
    </row>
    <row r="122" spans="2:11" x14ac:dyDescent="0.25">
      <c r="B122" s="261" t="s">
        <v>3318</v>
      </c>
      <c r="C122" s="261"/>
      <c r="D122" s="261"/>
      <c r="E122" s="262" t="s">
        <v>3319</v>
      </c>
      <c r="F122" s="261"/>
      <c r="G122" s="263"/>
      <c r="H122" s="263"/>
      <c r="I122" s="263"/>
      <c r="J122" s="266"/>
      <c r="K122">
        <f t="shared" si="4"/>
        <v>0</v>
      </c>
    </row>
    <row r="123" spans="2:11" x14ac:dyDescent="0.25">
      <c r="B123" s="244" t="s">
        <v>3320</v>
      </c>
      <c r="C123" s="244" t="s">
        <v>1527</v>
      </c>
      <c r="D123" s="244" t="s">
        <v>2956</v>
      </c>
      <c r="E123" s="245" t="s">
        <v>3321</v>
      </c>
      <c r="F123" s="244" t="s">
        <v>1082</v>
      </c>
      <c r="G123" s="256">
        <v>2</v>
      </c>
      <c r="H123" s="256">
        <v>181.41</v>
      </c>
      <c r="I123" s="256">
        <v>226.64</v>
      </c>
      <c r="J123" s="257">
        <f>ROUND(G123*I123,2)</f>
        <v>453.28</v>
      </c>
      <c r="K123">
        <f t="shared" si="4"/>
        <v>362.82</v>
      </c>
    </row>
    <row r="124" spans="2:11" x14ac:dyDescent="0.25">
      <c r="B124" s="261" t="s">
        <v>3322</v>
      </c>
      <c r="C124" s="261"/>
      <c r="D124" s="261"/>
      <c r="E124" s="262" t="s">
        <v>3323</v>
      </c>
      <c r="F124" s="261"/>
      <c r="G124" s="263"/>
      <c r="H124" s="263"/>
      <c r="I124" s="263"/>
      <c r="J124" s="266"/>
      <c r="K124">
        <f t="shared" si="4"/>
        <v>0</v>
      </c>
    </row>
    <row r="125" spans="2:11" x14ac:dyDescent="0.25">
      <c r="B125" s="244" t="s">
        <v>3324</v>
      </c>
      <c r="C125" s="244" t="s">
        <v>1527</v>
      </c>
      <c r="D125" s="244" t="s">
        <v>2956</v>
      </c>
      <c r="E125" s="245" t="s">
        <v>3321</v>
      </c>
      <c r="F125" s="244" t="s">
        <v>1082</v>
      </c>
      <c r="G125" s="256">
        <v>2</v>
      </c>
      <c r="H125" s="256">
        <v>181.41</v>
      </c>
      <c r="I125" s="256">
        <v>226.64</v>
      </c>
      <c r="J125" s="257">
        <f>ROUND(G125*I125,2)</f>
        <v>453.28</v>
      </c>
      <c r="K125">
        <f t="shared" si="4"/>
        <v>362.82</v>
      </c>
    </row>
    <row r="126" spans="2:11" x14ac:dyDescent="0.25">
      <c r="B126" s="252" t="s">
        <v>3325</v>
      </c>
      <c r="C126" s="252"/>
      <c r="D126" s="252"/>
      <c r="E126" s="253" t="s">
        <v>3326</v>
      </c>
      <c r="F126" s="252"/>
      <c r="G126" s="254"/>
      <c r="H126" s="255"/>
      <c r="I126" s="255"/>
      <c r="J126" s="255"/>
      <c r="K126">
        <f t="shared" si="4"/>
        <v>0</v>
      </c>
    </row>
    <row r="127" spans="2:11" ht="33.75" x14ac:dyDescent="0.25">
      <c r="B127" s="244" t="s">
        <v>3327</v>
      </c>
      <c r="C127" s="244" t="s">
        <v>1473</v>
      </c>
      <c r="D127" s="244" t="s">
        <v>2882</v>
      </c>
      <c r="E127" s="245" t="s">
        <v>3330</v>
      </c>
      <c r="F127" s="244" t="s">
        <v>1082</v>
      </c>
      <c r="G127" s="256">
        <v>19</v>
      </c>
      <c r="H127" s="256">
        <v>4.63</v>
      </c>
      <c r="I127" s="256">
        <v>5.78</v>
      </c>
      <c r="J127" s="257">
        <v>109.82</v>
      </c>
      <c r="K127">
        <f t="shared" si="4"/>
        <v>87.97</v>
      </c>
    </row>
    <row r="128" spans="2:11" ht="33.75" x14ac:dyDescent="0.25">
      <c r="B128" s="244" t="s">
        <v>3329</v>
      </c>
      <c r="C128" s="244" t="s">
        <v>1470</v>
      </c>
      <c r="D128" s="244" t="s">
        <v>2882</v>
      </c>
      <c r="E128" s="245" t="s">
        <v>3338</v>
      </c>
      <c r="F128" s="244" t="s">
        <v>1082</v>
      </c>
      <c r="G128" s="256">
        <v>46</v>
      </c>
      <c r="H128" s="256">
        <v>4.47</v>
      </c>
      <c r="I128" s="256">
        <v>5.58</v>
      </c>
      <c r="J128" s="257">
        <v>256.68</v>
      </c>
      <c r="K128">
        <f t="shared" si="4"/>
        <v>205.61999999999998</v>
      </c>
    </row>
    <row r="129" spans="2:11" x14ac:dyDescent="0.25">
      <c r="B129" s="244" t="s">
        <v>3331</v>
      </c>
      <c r="C129" s="244" t="s">
        <v>1536</v>
      </c>
      <c r="D129" s="244" t="s">
        <v>2956</v>
      </c>
      <c r="E129" s="245" t="s">
        <v>3340</v>
      </c>
      <c r="F129" s="244" t="s">
        <v>1082</v>
      </c>
      <c r="G129" s="256">
        <v>2</v>
      </c>
      <c r="H129" s="256">
        <v>16.63</v>
      </c>
      <c r="I129" s="256">
        <v>20.78</v>
      </c>
      <c r="J129" s="257">
        <v>41.56</v>
      </c>
      <c r="K129">
        <f t="shared" si="4"/>
        <v>33.26</v>
      </c>
    </row>
    <row r="130" spans="2:11" ht="22.5" x14ac:dyDescent="0.25">
      <c r="B130" s="244" t="s">
        <v>3333</v>
      </c>
      <c r="C130" s="244" t="s">
        <v>1461</v>
      </c>
      <c r="D130" s="244" t="s">
        <v>2882</v>
      </c>
      <c r="E130" s="245" t="s">
        <v>3342</v>
      </c>
      <c r="F130" s="244" t="s">
        <v>1082</v>
      </c>
      <c r="G130" s="256">
        <v>2</v>
      </c>
      <c r="H130" s="256">
        <v>4.4800000000000004</v>
      </c>
      <c r="I130" s="256">
        <v>5.6</v>
      </c>
      <c r="J130" s="257">
        <v>11.2</v>
      </c>
      <c r="K130">
        <f t="shared" si="4"/>
        <v>8.9600000000000009</v>
      </c>
    </row>
    <row r="131" spans="2:11" ht="33.75" x14ac:dyDescent="0.25">
      <c r="B131" s="244" t="s">
        <v>3335</v>
      </c>
      <c r="C131" s="244" t="s">
        <v>1476</v>
      </c>
      <c r="D131" s="244" t="s">
        <v>2882</v>
      </c>
      <c r="E131" s="245" t="s">
        <v>3344</v>
      </c>
      <c r="F131" s="244" t="s">
        <v>1082</v>
      </c>
      <c r="G131" s="256">
        <v>39</v>
      </c>
      <c r="H131" s="256">
        <v>5.81</v>
      </c>
      <c r="I131" s="256">
        <v>7.26</v>
      </c>
      <c r="J131" s="257">
        <v>283.14</v>
      </c>
      <c r="K131">
        <f t="shared" si="4"/>
        <v>226.58999999999997</v>
      </c>
    </row>
    <row r="132" spans="2:11" ht="33.75" x14ac:dyDescent="0.25">
      <c r="B132" s="244" t="s">
        <v>3337</v>
      </c>
      <c r="C132" s="244" t="s">
        <v>1488</v>
      </c>
      <c r="D132" s="244" t="s">
        <v>2882</v>
      </c>
      <c r="E132" s="245" t="s">
        <v>3346</v>
      </c>
      <c r="F132" s="244" t="s">
        <v>1082</v>
      </c>
      <c r="G132" s="256">
        <v>16</v>
      </c>
      <c r="H132" s="256">
        <v>13.19</v>
      </c>
      <c r="I132" s="256">
        <v>16.48</v>
      </c>
      <c r="J132" s="257">
        <v>263.68</v>
      </c>
      <c r="K132">
        <f t="shared" si="4"/>
        <v>211.04</v>
      </c>
    </row>
    <row r="133" spans="2:11" ht="33.75" x14ac:dyDescent="0.25">
      <c r="B133" s="244" t="s">
        <v>3339</v>
      </c>
      <c r="C133" s="244" t="s">
        <v>1482</v>
      </c>
      <c r="D133" s="244" t="s">
        <v>2882</v>
      </c>
      <c r="E133" s="245" t="s">
        <v>3348</v>
      </c>
      <c r="F133" s="244" t="s">
        <v>1082</v>
      </c>
      <c r="G133" s="256">
        <v>12</v>
      </c>
      <c r="H133" s="256">
        <v>9.86</v>
      </c>
      <c r="I133" s="256">
        <v>12.32</v>
      </c>
      <c r="J133" s="257">
        <v>147.84</v>
      </c>
      <c r="K133">
        <f t="shared" si="4"/>
        <v>118.32</v>
      </c>
    </row>
    <row r="134" spans="2:11" ht="22.5" x14ac:dyDescent="0.25">
      <c r="B134" s="244" t="s">
        <v>3341</v>
      </c>
      <c r="C134" s="244" t="s">
        <v>1580</v>
      </c>
      <c r="D134" s="244" t="s">
        <v>504</v>
      </c>
      <c r="E134" s="245" t="s">
        <v>1581</v>
      </c>
      <c r="F134" s="244" t="s">
        <v>1082</v>
      </c>
      <c r="G134" s="256">
        <v>2</v>
      </c>
      <c r="H134" s="256">
        <v>37.78</v>
      </c>
      <c r="I134" s="256">
        <v>47.2</v>
      </c>
      <c r="J134" s="257">
        <v>94.4</v>
      </c>
      <c r="K134">
        <f t="shared" si="4"/>
        <v>75.56</v>
      </c>
    </row>
    <row r="135" spans="2:11" x14ac:dyDescent="0.25">
      <c r="B135" s="244" t="s">
        <v>3343</v>
      </c>
      <c r="C135" s="244" t="s">
        <v>1533</v>
      </c>
      <c r="D135" s="244" t="s">
        <v>2956</v>
      </c>
      <c r="E135" s="245" t="s">
        <v>3350</v>
      </c>
      <c r="F135" s="244" t="s">
        <v>1082</v>
      </c>
      <c r="G135" s="256">
        <v>14</v>
      </c>
      <c r="H135" s="256">
        <v>17.95</v>
      </c>
      <c r="I135" s="256">
        <v>22.42</v>
      </c>
      <c r="J135" s="257">
        <v>313.88</v>
      </c>
      <c r="K135">
        <f t="shared" si="4"/>
        <v>251.29999999999998</v>
      </c>
    </row>
    <row r="136" spans="2:11" x14ac:dyDescent="0.25">
      <c r="B136" s="244" t="s">
        <v>3345</v>
      </c>
      <c r="C136" s="244" t="s">
        <v>1539</v>
      </c>
      <c r="D136" s="244" t="s">
        <v>2956</v>
      </c>
      <c r="E136" s="245" t="s">
        <v>3352</v>
      </c>
      <c r="F136" s="244" t="s">
        <v>1082</v>
      </c>
      <c r="G136" s="256">
        <v>3</v>
      </c>
      <c r="H136" s="256">
        <v>56.33</v>
      </c>
      <c r="I136" s="256">
        <v>70.37</v>
      </c>
      <c r="J136" s="257">
        <v>211.11</v>
      </c>
      <c r="K136">
        <f t="shared" si="4"/>
        <v>168.99</v>
      </c>
    </row>
    <row r="137" spans="2:11" x14ac:dyDescent="0.25">
      <c r="B137" s="244" t="s">
        <v>3347</v>
      </c>
      <c r="C137" s="244" t="s">
        <v>1264</v>
      </c>
      <c r="D137" s="244" t="s">
        <v>2956</v>
      </c>
      <c r="E137" s="245" t="s">
        <v>3354</v>
      </c>
      <c r="F137" s="244" t="s">
        <v>1082</v>
      </c>
      <c r="G137" s="256">
        <v>7</v>
      </c>
      <c r="H137" s="256">
        <v>121.83</v>
      </c>
      <c r="I137" s="256">
        <v>152.19999999999999</v>
      </c>
      <c r="J137" s="257">
        <v>1065.4000000000001</v>
      </c>
      <c r="K137">
        <f t="shared" si="4"/>
        <v>852.81</v>
      </c>
    </row>
    <row r="138" spans="2:11" ht="33.75" x14ac:dyDescent="0.25">
      <c r="B138" s="244" t="s">
        <v>3349</v>
      </c>
      <c r="C138" s="244" t="s">
        <v>1506</v>
      </c>
      <c r="D138" s="244" t="s">
        <v>2882</v>
      </c>
      <c r="E138" s="245" t="s">
        <v>3356</v>
      </c>
      <c r="F138" s="244" t="s">
        <v>1082</v>
      </c>
      <c r="G138" s="256">
        <v>8</v>
      </c>
      <c r="H138" s="256">
        <v>24.11</v>
      </c>
      <c r="I138" s="256">
        <v>30.12</v>
      </c>
      <c r="J138" s="257">
        <v>240.96</v>
      </c>
      <c r="K138">
        <f t="shared" ref="K138:K201" si="6">G138*H138</f>
        <v>192.88</v>
      </c>
    </row>
    <row r="139" spans="2:11" x14ac:dyDescent="0.25">
      <c r="B139" s="244" t="s">
        <v>3351</v>
      </c>
      <c r="C139" s="244" t="s">
        <v>1547</v>
      </c>
      <c r="D139" s="244" t="s">
        <v>2956</v>
      </c>
      <c r="E139" s="245" t="s">
        <v>3360</v>
      </c>
      <c r="F139" s="244" t="s">
        <v>1082</v>
      </c>
      <c r="G139" s="256">
        <v>14</v>
      </c>
      <c r="H139" s="256">
        <v>23.99</v>
      </c>
      <c r="I139" s="256">
        <v>29.97</v>
      </c>
      <c r="J139" s="257">
        <v>419.58</v>
      </c>
      <c r="K139">
        <f t="shared" si="6"/>
        <v>335.85999999999996</v>
      </c>
    </row>
    <row r="140" spans="2:11" x14ac:dyDescent="0.25">
      <c r="B140" s="244" t="s">
        <v>3353</v>
      </c>
      <c r="C140" s="244" t="s">
        <v>1544</v>
      </c>
      <c r="D140" s="244" t="s">
        <v>2956</v>
      </c>
      <c r="E140" s="245" t="s">
        <v>3364</v>
      </c>
      <c r="F140" s="244" t="s">
        <v>1082</v>
      </c>
      <c r="G140" s="256">
        <v>1</v>
      </c>
      <c r="H140" s="256">
        <v>22.49</v>
      </c>
      <c r="I140" s="256">
        <v>28.1</v>
      </c>
      <c r="J140" s="257">
        <v>28.1</v>
      </c>
      <c r="K140">
        <f t="shared" si="6"/>
        <v>22.49</v>
      </c>
    </row>
    <row r="141" spans="2:11" ht="33.75" x14ac:dyDescent="0.25">
      <c r="B141" s="244" t="s">
        <v>3355</v>
      </c>
      <c r="C141" s="244" t="s">
        <v>1500</v>
      </c>
      <c r="D141" s="244" t="s">
        <v>2882</v>
      </c>
      <c r="E141" s="245" t="s">
        <v>3366</v>
      </c>
      <c r="F141" s="244" t="s">
        <v>1082</v>
      </c>
      <c r="G141" s="256">
        <v>7</v>
      </c>
      <c r="H141" s="256">
        <v>10.85</v>
      </c>
      <c r="I141" s="256">
        <v>13.55</v>
      </c>
      <c r="J141" s="257">
        <v>94.85</v>
      </c>
      <c r="K141">
        <f t="shared" si="6"/>
        <v>75.95</v>
      </c>
    </row>
    <row r="142" spans="2:11" x14ac:dyDescent="0.25">
      <c r="B142" s="244" t="s">
        <v>3357</v>
      </c>
      <c r="C142" s="244" t="s">
        <v>1550</v>
      </c>
      <c r="D142" s="244" t="s">
        <v>2956</v>
      </c>
      <c r="E142" s="245" t="s">
        <v>3368</v>
      </c>
      <c r="F142" s="244" t="s">
        <v>1082</v>
      </c>
      <c r="G142" s="256">
        <v>3</v>
      </c>
      <c r="H142" s="256">
        <v>24.3</v>
      </c>
      <c r="I142" s="256">
        <v>30.36</v>
      </c>
      <c r="J142" s="257">
        <v>91.08</v>
      </c>
      <c r="K142">
        <f t="shared" si="6"/>
        <v>72.900000000000006</v>
      </c>
    </row>
    <row r="143" spans="2:11" x14ac:dyDescent="0.25">
      <c r="B143" s="244" t="s">
        <v>3359</v>
      </c>
      <c r="C143" s="244" t="s">
        <v>1553</v>
      </c>
      <c r="D143" s="244" t="s">
        <v>2956</v>
      </c>
      <c r="E143" s="245" t="s">
        <v>3370</v>
      </c>
      <c r="F143" s="244" t="s">
        <v>1082</v>
      </c>
      <c r="G143" s="256">
        <v>2</v>
      </c>
      <c r="H143" s="256">
        <v>25.33</v>
      </c>
      <c r="I143" s="256">
        <v>31.64</v>
      </c>
      <c r="J143" s="257">
        <v>63.28</v>
      </c>
      <c r="K143">
        <f t="shared" si="6"/>
        <v>50.66</v>
      </c>
    </row>
    <row r="144" spans="2:11" x14ac:dyDescent="0.25">
      <c r="B144" s="244" t="s">
        <v>3361</v>
      </c>
      <c r="C144" s="244" t="s">
        <v>1562</v>
      </c>
      <c r="D144" s="244" t="s">
        <v>2956</v>
      </c>
      <c r="E144" s="245" t="s">
        <v>3372</v>
      </c>
      <c r="F144" s="244" t="s">
        <v>1082</v>
      </c>
      <c r="G144" s="256">
        <v>8</v>
      </c>
      <c r="H144" s="256">
        <v>22.44</v>
      </c>
      <c r="I144" s="256">
        <v>28.03</v>
      </c>
      <c r="J144" s="257">
        <v>224.24</v>
      </c>
      <c r="K144">
        <f t="shared" si="6"/>
        <v>179.52</v>
      </c>
    </row>
    <row r="145" spans="2:11" x14ac:dyDescent="0.25">
      <c r="B145" s="244" t="s">
        <v>3363</v>
      </c>
      <c r="C145" s="244" t="s">
        <v>1559</v>
      </c>
      <c r="D145" s="244" t="s">
        <v>2956</v>
      </c>
      <c r="E145" s="245" t="s">
        <v>3374</v>
      </c>
      <c r="F145" s="244" t="s">
        <v>1082</v>
      </c>
      <c r="G145" s="256">
        <v>2</v>
      </c>
      <c r="H145" s="256">
        <v>20.75</v>
      </c>
      <c r="I145" s="256">
        <v>25.92</v>
      </c>
      <c r="J145" s="257">
        <v>51.84</v>
      </c>
      <c r="K145">
        <f t="shared" si="6"/>
        <v>41.5</v>
      </c>
    </row>
    <row r="146" spans="2:11" x14ac:dyDescent="0.25">
      <c r="B146" s="244" t="s">
        <v>3365</v>
      </c>
      <c r="C146" s="244" t="s">
        <v>1556</v>
      </c>
      <c r="D146" s="244" t="s">
        <v>2956</v>
      </c>
      <c r="E146" s="245" t="s">
        <v>3389</v>
      </c>
      <c r="F146" s="244" t="s">
        <v>1082</v>
      </c>
      <c r="G146" s="256">
        <v>17</v>
      </c>
      <c r="H146" s="256">
        <v>14.7</v>
      </c>
      <c r="I146" s="256">
        <v>18.36</v>
      </c>
      <c r="J146" s="257">
        <v>312.12</v>
      </c>
      <c r="K146">
        <f t="shared" si="6"/>
        <v>249.89999999999998</v>
      </c>
    </row>
    <row r="147" spans="2:11" ht="22.5" x14ac:dyDescent="0.25">
      <c r="B147" s="244" t="s">
        <v>3367</v>
      </c>
      <c r="C147" s="244" t="s">
        <v>1467</v>
      </c>
      <c r="D147" s="244" t="s">
        <v>2882</v>
      </c>
      <c r="E147" s="245" t="s">
        <v>3378</v>
      </c>
      <c r="F147" s="244" t="s">
        <v>1082</v>
      </c>
      <c r="G147" s="256">
        <v>8</v>
      </c>
      <c r="H147" s="256">
        <v>7.56</v>
      </c>
      <c r="I147" s="256">
        <v>9.44</v>
      </c>
      <c r="J147" s="257">
        <v>75.52</v>
      </c>
      <c r="K147">
        <f t="shared" si="6"/>
        <v>60.48</v>
      </c>
    </row>
    <row r="148" spans="2:11" ht="22.5" x14ac:dyDescent="0.25">
      <c r="B148" s="244" t="s">
        <v>3369</v>
      </c>
      <c r="C148" s="244" t="s">
        <v>1464</v>
      </c>
      <c r="D148" s="244" t="s">
        <v>2882</v>
      </c>
      <c r="E148" s="245" t="s">
        <v>3382</v>
      </c>
      <c r="F148" s="244" t="s">
        <v>1082</v>
      </c>
      <c r="G148" s="256">
        <v>8</v>
      </c>
      <c r="H148" s="256">
        <v>7.2</v>
      </c>
      <c r="I148" s="256">
        <v>8.99</v>
      </c>
      <c r="J148" s="257">
        <v>71.92</v>
      </c>
      <c r="K148">
        <f t="shared" si="6"/>
        <v>57.6</v>
      </c>
    </row>
    <row r="149" spans="2:11" x14ac:dyDescent="0.25">
      <c r="B149" s="244" t="s">
        <v>3371</v>
      </c>
      <c r="C149" s="244" t="s">
        <v>1574</v>
      </c>
      <c r="D149" s="244" t="s">
        <v>504</v>
      </c>
      <c r="E149" s="245" t="s">
        <v>1575</v>
      </c>
      <c r="F149" s="244" t="s">
        <v>1082</v>
      </c>
      <c r="G149" s="256">
        <v>22</v>
      </c>
      <c r="H149" s="256">
        <v>35.75</v>
      </c>
      <c r="I149" s="256">
        <v>44.66</v>
      </c>
      <c r="J149" s="257">
        <v>982.52</v>
      </c>
      <c r="K149">
        <f t="shared" si="6"/>
        <v>786.5</v>
      </c>
    </row>
    <row r="150" spans="2:11" x14ac:dyDescent="0.25">
      <c r="B150" s="660" t="s">
        <v>3294</v>
      </c>
      <c r="C150" s="660"/>
      <c r="D150" s="660"/>
      <c r="E150" s="250" t="s">
        <v>3392</v>
      </c>
      <c r="F150" s="660"/>
      <c r="G150" s="251"/>
      <c r="H150" s="251"/>
      <c r="I150" s="251"/>
      <c r="J150" s="251"/>
      <c r="K150">
        <f t="shared" si="6"/>
        <v>0</v>
      </c>
    </row>
    <row r="151" spans="2:11" x14ac:dyDescent="0.25">
      <c r="B151" s="252" t="s">
        <v>3296</v>
      </c>
      <c r="C151" s="252"/>
      <c r="D151" s="252"/>
      <c r="E151" s="253" t="s">
        <v>3297</v>
      </c>
      <c r="F151" s="252"/>
      <c r="G151" s="254"/>
      <c r="H151" s="255"/>
      <c r="I151" s="255"/>
      <c r="J151" s="255"/>
      <c r="K151">
        <f t="shared" si="6"/>
        <v>0</v>
      </c>
    </row>
    <row r="152" spans="2:11" ht="33.75" x14ac:dyDescent="0.25">
      <c r="B152" s="244" t="s">
        <v>3298</v>
      </c>
      <c r="C152" s="244" t="s">
        <v>1512</v>
      </c>
      <c r="D152" s="244" t="s">
        <v>2882</v>
      </c>
      <c r="E152" s="245" t="s">
        <v>3299</v>
      </c>
      <c r="F152" s="244" t="s">
        <v>473</v>
      </c>
      <c r="G152" s="256">
        <v>22</v>
      </c>
      <c r="H152" s="256">
        <v>31.17</v>
      </c>
      <c r="I152" s="256">
        <v>38.94</v>
      </c>
      <c r="J152" s="257">
        <f>ROUND(G152*I152,2)</f>
        <v>856.68</v>
      </c>
      <c r="K152">
        <f t="shared" si="6"/>
        <v>685.74</v>
      </c>
    </row>
    <row r="153" spans="2:11" ht="33.75" x14ac:dyDescent="0.25">
      <c r="B153" s="244" t="s">
        <v>3393</v>
      </c>
      <c r="C153" s="244" t="s">
        <v>1515</v>
      </c>
      <c r="D153" s="244" t="s">
        <v>2882</v>
      </c>
      <c r="E153" s="245" t="s">
        <v>3301</v>
      </c>
      <c r="F153" s="244" t="s">
        <v>473</v>
      </c>
      <c r="G153" s="256">
        <v>21.84</v>
      </c>
      <c r="H153" s="256">
        <v>46.45</v>
      </c>
      <c r="I153" s="256">
        <v>58.03</v>
      </c>
      <c r="J153" s="257">
        <f>ROUND(G153*I153,2)</f>
        <v>1267.3800000000001</v>
      </c>
      <c r="K153">
        <f t="shared" si="6"/>
        <v>1014.4680000000001</v>
      </c>
    </row>
    <row r="154" spans="2:11" ht="33.75" x14ac:dyDescent="0.25">
      <c r="B154" s="244" t="s">
        <v>3394</v>
      </c>
      <c r="C154" s="244" t="s">
        <v>1518</v>
      </c>
      <c r="D154" s="244" t="s">
        <v>2882</v>
      </c>
      <c r="E154" s="245" t="s">
        <v>3303</v>
      </c>
      <c r="F154" s="244" t="s">
        <v>473</v>
      </c>
      <c r="G154" s="256">
        <v>80.739999999999995</v>
      </c>
      <c r="H154" s="256">
        <v>21.08</v>
      </c>
      <c r="I154" s="256">
        <v>26.34</v>
      </c>
      <c r="J154" s="257">
        <f>ROUND(G154*I154,2)</f>
        <v>2126.69</v>
      </c>
      <c r="K154">
        <f t="shared" si="6"/>
        <v>1701.9991999999997</v>
      </c>
    </row>
    <row r="155" spans="2:11" ht="33.75" x14ac:dyDescent="0.25">
      <c r="B155" s="244" t="s">
        <v>3395</v>
      </c>
      <c r="C155" s="244" t="s">
        <v>1521</v>
      </c>
      <c r="D155" s="244" t="s">
        <v>2882</v>
      </c>
      <c r="E155" s="245" t="s">
        <v>3305</v>
      </c>
      <c r="F155" s="244" t="s">
        <v>473</v>
      </c>
      <c r="G155" s="256">
        <v>148.5</v>
      </c>
      <c r="H155" s="256">
        <v>36.130000000000003</v>
      </c>
      <c r="I155" s="256">
        <v>45.14</v>
      </c>
      <c r="J155" s="257">
        <f>ROUND(G155*I155,2)</f>
        <v>6703.29</v>
      </c>
      <c r="K155">
        <f t="shared" si="6"/>
        <v>5365.3050000000003</v>
      </c>
    </row>
    <row r="156" spans="2:11" x14ac:dyDescent="0.25">
      <c r="B156" s="252" t="s">
        <v>3310</v>
      </c>
      <c r="C156" s="252"/>
      <c r="D156" s="252"/>
      <c r="E156" s="253" t="s">
        <v>3391</v>
      </c>
      <c r="F156" s="252"/>
      <c r="G156" s="254"/>
      <c r="H156" s="255"/>
      <c r="I156" s="255"/>
      <c r="J156" s="255"/>
      <c r="K156">
        <f t="shared" si="6"/>
        <v>0</v>
      </c>
    </row>
    <row r="157" spans="2:11" x14ac:dyDescent="0.25">
      <c r="B157" s="261" t="s">
        <v>3312</v>
      </c>
      <c r="C157" s="261"/>
      <c r="D157" s="261"/>
      <c r="E157" s="262" t="s">
        <v>3313</v>
      </c>
      <c r="F157" s="261"/>
      <c r="G157" s="263"/>
      <c r="H157" s="263"/>
      <c r="I157" s="263"/>
      <c r="J157" s="264"/>
      <c r="K157">
        <f t="shared" si="6"/>
        <v>0</v>
      </c>
    </row>
    <row r="158" spans="2:11" x14ac:dyDescent="0.25">
      <c r="B158" s="244" t="s">
        <v>3314</v>
      </c>
      <c r="C158" s="244" t="s">
        <v>1446</v>
      </c>
      <c r="D158" s="244" t="s">
        <v>2882</v>
      </c>
      <c r="E158" s="245" t="s">
        <v>3315</v>
      </c>
      <c r="F158" s="244" t="s">
        <v>1082</v>
      </c>
      <c r="G158" s="256">
        <v>5</v>
      </c>
      <c r="H158" s="256">
        <v>277.81</v>
      </c>
      <c r="I158" s="256">
        <v>347.07</v>
      </c>
      <c r="J158" s="257">
        <f>ROUND(G158*I158,2)</f>
        <v>1735.35</v>
      </c>
      <c r="K158">
        <f t="shared" si="6"/>
        <v>1389.05</v>
      </c>
    </row>
    <row r="159" spans="2:11" x14ac:dyDescent="0.25">
      <c r="B159" s="261" t="s">
        <v>3318</v>
      </c>
      <c r="C159" s="261"/>
      <c r="D159" s="261"/>
      <c r="E159" s="262" t="s">
        <v>3319</v>
      </c>
      <c r="F159" s="261"/>
      <c r="G159" s="263"/>
      <c r="H159" s="263"/>
      <c r="I159" s="263"/>
      <c r="J159" s="264"/>
      <c r="K159">
        <f t="shared" si="6"/>
        <v>0</v>
      </c>
    </row>
    <row r="160" spans="2:11" x14ac:dyDescent="0.25">
      <c r="B160" s="244" t="s">
        <v>3320</v>
      </c>
      <c r="C160" s="244" t="s">
        <v>1527</v>
      </c>
      <c r="D160" s="244" t="s">
        <v>2956</v>
      </c>
      <c r="E160" s="245" t="s">
        <v>3321</v>
      </c>
      <c r="F160" s="244" t="s">
        <v>1082</v>
      </c>
      <c r="G160" s="256">
        <v>2</v>
      </c>
      <c r="H160" s="256">
        <v>181.41</v>
      </c>
      <c r="I160" s="256">
        <v>226.64</v>
      </c>
      <c r="J160" s="257">
        <f>ROUND(G160*I160,2)</f>
        <v>453.28</v>
      </c>
      <c r="K160">
        <f t="shared" si="6"/>
        <v>362.82</v>
      </c>
    </row>
    <row r="161" spans="2:11" x14ac:dyDescent="0.25">
      <c r="B161" s="261" t="s">
        <v>3322</v>
      </c>
      <c r="C161" s="261"/>
      <c r="D161" s="261"/>
      <c r="E161" s="262" t="s">
        <v>3396</v>
      </c>
      <c r="F161" s="261"/>
      <c r="G161" s="263"/>
      <c r="H161" s="263"/>
      <c r="I161" s="263"/>
      <c r="J161" s="264"/>
      <c r="K161">
        <f t="shared" si="6"/>
        <v>0</v>
      </c>
    </row>
    <row r="162" spans="2:11" x14ac:dyDescent="0.25">
      <c r="B162" s="244" t="s">
        <v>3324</v>
      </c>
      <c r="C162" s="244" t="s">
        <v>1527</v>
      </c>
      <c r="D162" s="244" t="s">
        <v>2956</v>
      </c>
      <c r="E162" s="245" t="s">
        <v>3321</v>
      </c>
      <c r="F162" s="244" t="s">
        <v>1082</v>
      </c>
      <c r="G162" s="256">
        <v>1</v>
      </c>
      <c r="H162" s="256">
        <v>181.41</v>
      </c>
      <c r="I162" s="256">
        <v>226.64</v>
      </c>
      <c r="J162" s="257">
        <f>ROUND(G162*I162,2)</f>
        <v>226.64</v>
      </c>
      <c r="K162">
        <f t="shared" si="6"/>
        <v>181.41</v>
      </c>
    </row>
    <row r="163" spans="2:11" x14ac:dyDescent="0.25">
      <c r="B163" s="252" t="s">
        <v>3325</v>
      </c>
      <c r="C163" s="252"/>
      <c r="D163" s="252"/>
      <c r="E163" s="253" t="s">
        <v>3397</v>
      </c>
      <c r="F163" s="252"/>
      <c r="G163" s="254"/>
      <c r="H163" s="255"/>
      <c r="I163" s="255"/>
      <c r="J163" s="255"/>
      <c r="K163">
        <f t="shared" si="6"/>
        <v>0</v>
      </c>
    </row>
    <row r="164" spans="2:11" ht="33.75" x14ac:dyDescent="0.25">
      <c r="B164" s="244" t="s">
        <v>3327</v>
      </c>
      <c r="C164" s="244" t="s">
        <v>1473</v>
      </c>
      <c r="D164" s="244" t="s">
        <v>2882</v>
      </c>
      <c r="E164" s="245" t="s">
        <v>3330</v>
      </c>
      <c r="F164" s="244" t="s">
        <v>1082</v>
      </c>
      <c r="G164" s="256">
        <v>16</v>
      </c>
      <c r="H164" s="256">
        <v>4.63</v>
      </c>
      <c r="I164" s="256">
        <v>5.78</v>
      </c>
      <c r="J164" s="257">
        <f>ROUND(G164*I164,2)</f>
        <v>92.48</v>
      </c>
      <c r="K164">
        <f t="shared" si="6"/>
        <v>74.08</v>
      </c>
    </row>
    <row r="165" spans="2:11" ht="33.75" x14ac:dyDescent="0.25">
      <c r="B165" s="244" t="s">
        <v>3329</v>
      </c>
      <c r="C165" s="244" t="s">
        <v>1479</v>
      </c>
      <c r="D165" s="244" t="s">
        <v>2882</v>
      </c>
      <c r="E165" s="245" t="s">
        <v>3334</v>
      </c>
      <c r="F165" s="244" t="s">
        <v>1082</v>
      </c>
      <c r="G165" s="256">
        <v>1</v>
      </c>
      <c r="H165" s="256">
        <v>6.22</v>
      </c>
      <c r="I165" s="256">
        <v>7.77</v>
      </c>
      <c r="J165" s="257">
        <f t="shared" ref="J165:J183" si="7">ROUND(G165*I165,2)</f>
        <v>7.77</v>
      </c>
      <c r="K165">
        <f t="shared" si="6"/>
        <v>6.22</v>
      </c>
    </row>
    <row r="166" spans="2:11" ht="33.75" x14ac:dyDescent="0.25">
      <c r="B166" s="244" t="s">
        <v>3331</v>
      </c>
      <c r="C166" s="244" t="s">
        <v>1470</v>
      </c>
      <c r="D166" s="244" t="s">
        <v>2882</v>
      </c>
      <c r="E166" s="245" t="s">
        <v>3338</v>
      </c>
      <c r="F166" s="244" t="s">
        <v>1082</v>
      </c>
      <c r="G166" s="256">
        <v>34</v>
      </c>
      <c r="H166" s="256">
        <v>4.47</v>
      </c>
      <c r="I166" s="256">
        <v>5.58</v>
      </c>
      <c r="J166" s="257">
        <f t="shared" si="7"/>
        <v>189.72</v>
      </c>
      <c r="K166">
        <f t="shared" si="6"/>
        <v>151.97999999999999</v>
      </c>
    </row>
    <row r="167" spans="2:11" ht="33.75" x14ac:dyDescent="0.25">
      <c r="B167" s="244" t="s">
        <v>3333</v>
      </c>
      <c r="C167" s="244" t="s">
        <v>1476</v>
      </c>
      <c r="D167" s="244" t="s">
        <v>2882</v>
      </c>
      <c r="E167" s="245" t="s">
        <v>3344</v>
      </c>
      <c r="F167" s="244" t="s">
        <v>1082</v>
      </c>
      <c r="G167" s="256">
        <v>13</v>
      </c>
      <c r="H167" s="256">
        <v>5.81</v>
      </c>
      <c r="I167" s="256">
        <v>7.26</v>
      </c>
      <c r="J167" s="257">
        <f t="shared" si="7"/>
        <v>94.38</v>
      </c>
      <c r="K167">
        <f t="shared" si="6"/>
        <v>75.53</v>
      </c>
    </row>
    <row r="168" spans="2:11" ht="33.75" x14ac:dyDescent="0.25">
      <c r="B168" s="244" t="s">
        <v>3335</v>
      </c>
      <c r="C168" s="244" t="s">
        <v>1488</v>
      </c>
      <c r="D168" s="244" t="s">
        <v>2882</v>
      </c>
      <c r="E168" s="245" t="s">
        <v>3346</v>
      </c>
      <c r="F168" s="244" t="s">
        <v>1082</v>
      </c>
      <c r="G168" s="256">
        <v>18</v>
      </c>
      <c r="H168" s="256">
        <v>13.19</v>
      </c>
      <c r="I168" s="256">
        <v>16.48</v>
      </c>
      <c r="J168" s="257">
        <f t="shared" si="7"/>
        <v>296.64</v>
      </c>
      <c r="K168">
        <f t="shared" si="6"/>
        <v>237.42</v>
      </c>
    </row>
    <row r="169" spans="2:11" ht="33.75" x14ac:dyDescent="0.25">
      <c r="B169" s="244" t="s">
        <v>3337</v>
      </c>
      <c r="C169" s="244" t="s">
        <v>1482</v>
      </c>
      <c r="D169" s="244" t="s">
        <v>2882</v>
      </c>
      <c r="E169" s="245" t="s">
        <v>3348</v>
      </c>
      <c r="F169" s="244" t="s">
        <v>1082</v>
      </c>
      <c r="G169" s="256">
        <v>9</v>
      </c>
      <c r="H169" s="256">
        <v>9.86</v>
      </c>
      <c r="I169" s="256">
        <v>12.32</v>
      </c>
      <c r="J169" s="257">
        <f t="shared" si="7"/>
        <v>110.88</v>
      </c>
      <c r="K169">
        <f t="shared" si="6"/>
        <v>88.74</v>
      </c>
    </row>
    <row r="170" spans="2:11" x14ac:dyDescent="0.25">
      <c r="B170" s="244" t="s">
        <v>3339</v>
      </c>
      <c r="C170" s="244" t="s">
        <v>1533</v>
      </c>
      <c r="D170" s="244" t="s">
        <v>2956</v>
      </c>
      <c r="E170" s="245" t="s">
        <v>3350</v>
      </c>
      <c r="F170" s="244" t="s">
        <v>1082</v>
      </c>
      <c r="G170" s="256">
        <v>3</v>
      </c>
      <c r="H170" s="256">
        <v>17.95</v>
      </c>
      <c r="I170" s="256">
        <v>22.42</v>
      </c>
      <c r="J170" s="257">
        <f t="shared" si="7"/>
        <v>67.260000000000005</v>
      </c>
      <c r="K170">
        <f t="shared" si="6"/>
        <v>53.849999999999994</v>
      </c>
    </row>
    <row r="171" spans="2:11" x14ac:dyDescent="0.25">
      <c r="B171" s="244" t="s">
        <v>3341</v>
      </c>
      <c r="C171" s="244" t="s">
        <v>1539</v>
      </c>
      <c r="D171" s="244" t="s">
        <v>2956</v>
      </c>
      <c r="E171" s="245" t="s">
        <v>3352</v>
      </c>
      <c r="F171" s="244" t="s">
        <v>1082</v>
      </c>
      <c r="G171" s="256">
        <v>1</v>
      </c>
      <c r="H171" s="256">
        <v>56.33</v>
      </c>
      <c r="I171" s="256">
        <v>70.37</v>
      </c>
      <c r="J171" s="257">
        <f t="shared" si="7"/>
        <v>70.37</v>
      </c>
      <c r="K171">
        <f t="shared" si="6"/>
        <v>56.33</v>
      </c>
    </row>
    <row r="172" spans="2:11" x14ac:dyDescent="0.25">
      <c r="B172" s="244" t="s">
        <v>3343</v>
      </c>
      <c r="C172" s="244" t="s">
        <v>1264</v>
      </c>
      <c r="D172" s="244" t="s">
        <v>2956</v>
      </c>
      <c r="E172" s="245" t="s">
        <v>3354</v>
      </c>
      <c r="F172" s="244" t="s">
        <v>1082</v>
      </c>
      <c r="G172" s="256">
        <v>8</v>
      </c>
      <c r="H172" s="256">
        <v>121.83</v>
      </c>
      <c r="I172" s="256">
        <v>152.19999999999999</v>
      </c>
      <c r="J172" s="257">
        <f t="shared" si="7"/>
        <v>1217.5999999999999</v>
      </c>
      <c r="K172">
        <f t="shared" si="6"/>
        <v>974.64</v>
      </c>
    </row>
    <row r="173" spans="2:11" ht="33.75" x14ac:dyDescent="0.25">
      <c r="B173" s="244" t="s">
        <v>3345</v>
      </c>
      <c r="C173" s="244" t="s">
        <v>1506</v>
      </c>
      <c r="D173" s="244" t="s">
        <v>2882</v>
      </c>
      <c r="E173" s="245" t="s">
        <v>3356</v>
      </c>
      <c r="F173" s="244" t="s">
        <v>1082</v>
      </c>
      <c r="G173" s="256">
        <v>12</v>
      </c>
      <c r="H173" s="256">
        <v>24.11</v>
      </c>
      <c r="I173" s="256">
        <v>30.12</v>
      </c>
      <c r="J173" s="257">
        <f t="shared" si="7"/>
        <v>361.44</v>
      </c>
      <c r="K173">
        <f t="shared" si="6"/>
        <v>289.32</v>
      </c>
    </row>
    <row r="174" spans="2:11" x14ac:dyDescent="0.25">
      <c r="B174" s="244" t="s">
        <v>3347</v>
      </c>
      <c r="C174" s="244" t="s">
        <v>1547</v>
      </c>
      <c r="D174" s="244" t="s">
        <v>2956</v>
      </c>
      <c r="E174" s="245" t="s">
        <v>3360</v>
      </c>
      <c r="F174" s="244" t="s">
        <v>1082</v>
      </c>
      <c r="G174" s="256">
        <v>7</v>
      </c>
      <c r="H174" s="256">
        <v>23.99</v>
      </c>
      <c r="I174" s="256">
        <v>29.97</v>
      </c>
      <c r="J174" s="257">
        <f t="shared" si="7"/>
        <v>209.79</v>
      </c>
      <c r="K174">
        <f t="shared" si="6"/>
        <v>167.92999999999998</v>
      </c>
    </row>
    <row r="175" spans="2:11" ht="33.75" x14ac:dyDescent="0.25">
      <c r="B175" s="244" t="s">
        <v>3349</v>
      </c>
      <c r="C175" s="244" t="s">
        <v>1500</v>
      </c>
      <c r="D175" s="244" t="s">
        <v>2882</v>
      </c>
      <c r="E175" s="245" t="s">
        <v>3366</v>
      </c>
      <c r="F175" s="244" t="s">
        <v>1082</v>
      </c>
      <c r="G175" s="256">
        <v>1</v>
      </c>
      <c r="H175" s="256">
        <v>10.85</v>
      </c>
      <c r="I175" s="256">
        <v>13.55</v>
      </c>
      <c r="J175" s="257">
        <f t="shared" si="7"/>
        <v>13.55</v>
      </c>
      <c r="K175">
        <f t="shared" si="6"/>
        <v>10.85</v>
      </c>
    </row>
    <row r="176" spans="2:11" x14ac:dyDescent="0.25">
      <c r="B176" s="244" t="s">
        <v>3351</v>
      </c>
      <c r="C176" s="244" t="s">
        <v>1553</v>
      </c>
      <c r="D176" s="244" t="s">
        <v>2956</v>
      </c>
      <c r="E176" s="245" t="s">
        <v>3370</v>
      </c>
      <c r="F176" s="244" t="s">
        <v>1082</v>
      </c>
      <c r="G176" s="256">
        <v>3</v>
      </c>
      <c r="H176" s="256">
        <v>25.33</v>
      </c>
      <c r="I176" s="256">
        <v>31.64</v>
      </c>
      <c r="J176" s="257">
        <f t="shared" si="7"/>
        <v>94.92</v>
      </c>
      <c r="K176">
        <f t="shared" si="6"/>
        <v>75.989999999999995</v>
      </c>
    </row>
    <row r="177" spans="2:11" x14ac:dyDescent="0.25">
      <c r="B177" s="244" t="s">
        <v>3353</v>
      </c>
      <c r="C177" s="244" t="s">
        <v>1562</v>
      </c>
      <c r="D177" s="244" t="s">
        <v>2956</v>
      </c>
      <c r="E177" s="245" t="s">
        <v>3372</v>
      </c>
      <c r="F177" s="244" t="s">
        <v>1082</v>
      </c>
      <c r="G177" s="256">
        <v>4</v>
      </c>
      <c r="H177" s="256">
        <v>22.44</v>
      </c>
      <c r="I177" s="256">
        <v>28.03</v>
      </c>
      <c r="J177" s="257">
        <f t="shared" si="7"/>
        <v>112.12</v>
      </c>
      <c r="K177">
        <f t="shared" si="6"/>
        <v>89.76</v>
      </c>
    </row>
    <row r="178" spans="2:11" x14ac:dyDescent="0.25">
      <c r="B178" s="244" t="s">
        <v>3355</v>
      </c>
      <c r="C178" s="244" t="s">
        <v>1559</v>
      </c>
      <c r="D178" s="244" t="s">
        <v>2956</v>
      </c>
      <c r="E178" s="245" t="s">
        <v>3374</v>
      </c>
      <c r="F178" s="244" t="s">
        <v>1082</v>
      </c>
      <c r="G178" s="256">
        <v>4</v>
      </c>
      <c r="H178" s="256">
        <v>20.75</v>
      </c>
      <c r="I178" s="256">
        <v>25.92</v>
      </c>
      <c r="J178" s="257">
        <f t="shared" si="7"/>
        <v>103.68</v>
      </c>
      <c r="K178">
        <f t="shared" si="6"/>
        <v>83</v>
      </c>
    </row>
    <row r="179" spans="2:11" x14ac:dyDescent="0.25">
      <c r="B179" s="244" t="s">
        <v>3357</v>
      </c>
      <c r="C179" s="244" t="s">
        <v>1565</v>
      </c>
      <c r="D179" s="244" t="s">
        <v>2956</v>
      </c>
      <c r="E179" s="245" t="s">
        <v>3398</v>
      </c>
      <c r="F179" s="244" t="s">
        <v>1082</v>
      </c>
      <c r="G179" s="256">
        <v>8</v>
      </c>
      <c r="H179" s="256">
        <v>11.51</v>
      </c>
      <c r="I179" s="256">
        <v>14.38</v>
      </c>
      <c r="J179" s="257">
        <f t="shared" si="7"/>
        <v>115.04</v>
      </c>
      <c r="K179">
        <f t="shared" si="6"/>
        <v>92.08</v>
      </c>
    </row>
    <row r="180" spans="2:11" ht="22.5" x14ac:dyDescent="0.25">
      <c r="B180" s="244" t="s">
        <v>3359</v>
      </c>
      <c r="C180" s="244" t="s">
        <v>1467</v>
      </c>
      <c r="D180" s="244" t="s">
        <v>2882</v>
      </c>
      <c r="E180" s="245" t="s">
        <v>3378</v>
      </c>
      <c r="F180" s="244" t="s">
        <v>1082</v>
      </c>
      <c r="G180" s="256">
        <v>1</v>
      </c>
      <c r="H180" s="256">
        <v>7.56</v>
      </c>
      <c r="I180" s="256">
        <v>9.44</v>
      </c>
      <c r="J180" s="257">
        <f t="shared" si="7"/>
        <v>9.44</v>
      </c>
      <c r="K180">
        <f t="shared" si="6"/>
        <v>7.56</v>
      </c>
    </row>
    <row r="181" spans="2:11" ht="22.5" x14ac:dyDescent="0.25">
      <c r="B181" s="244" t="s">
        <v>3361</v>
      </c>
      <c r="C181" s="244" t="s">
        <v>1464</v>
      </c>
      <c r="D181" s="244" t="s">
        <v>2882</v>
      </c>
      <c r="E181" s="245" t="s">
        <v>3382</v>
      </c>
      <c r="F181" s="244" t="s">
        <v>1082</v>
      </c>
      <c r="G181" s="256">
        <v>5</v>
      </c>
      <c r="H181" s="256">
        <v>7.2</v>
      </c>
      <c r="I181" s="256">
        <v>8.99</v>
      </c>
      <c r="J181" s="257">
        <f t="shared" si="7"/>
        <v>44.95</v>
      </c>
      <c r="K181">
        <f t="shared" si="6"/>
        <v>36</v>
      </c>
    </row>
    <row r="182" spans="2:11" ht="22.5" x14ac:dyDescent="0.25">
      <c r="B182" s="244" t="s">
        <v>3363</v>
      </c>
      <c r="C182" s="244" t="s">
        <v>1571</v>
      </c>
      <c r="D182" s="244" t="s">
        <v>504</v>
      </c>
      <c r="E182" s="245" t="s">
        <v>3384</v>
      </c>
      <c r="F182" s="244" t="s">
        <v>1082</v>
      </c>
      <c r="G182" s="256">
        <v>2</v>
      </c>
      <c r="H182" s="256">
        <v>6.36</v>
      </c>
      <c r="I182" s="256">
        <v>7.95</v>
      </c>
      <c r="J182" s="257">
        <f t="shared" si="7"/>
        <v>15.9</v>
      </c>
      <c r="K182">
        <f t="shared" si="6"/>
        <v>12.72</v>
      </c>
    </row>
    <row r="183" spans="2:11" x14ac:dyDescent="0.25">
      <c r="B183" s="244" t="s">
        <v>3365</v>
      </c>
      <c r="C183" s="244" t="s">
        <v>1574</v>
      </c>
      <c r="D183" s="244" t="s">
        <v>504</v>
      </c>
      <c r="E183" s="247" t="s">
        <v>1575</v>
      </c>
      <c r="F183" s="244" t="s">
        <v>1082</v>
      </c>
      <c r="G183" s="256">
        <v>9</v>
      </c>
      <c r="H183" s="256">
        <v>35.75</v>
      </c>
      <c r="I183" s="256">
        <v>44.66</v>
      </c>
      <c r="J183" s="257">
        <f t="shared" si="7"/>
        <v>401.94</v>
      </c>
      <c r="K183">
        <f t="shared" si="6"/>
        <v>321.75</v>
      </c>
    </row>
    <row r="184" spans="2:11" x14ac:dyDescent="0.25">
      <c r="B184" s="660" t="s">
        <v>3294</v>
      </c>
      <c r="C184" s="660"/>
      <c r="D184" s="660"/>
      <c r="E184" s="250" t="s">
        <v>3399</v>
      </c>
      <c r="F184" s="660"/>
      <c r="G184" s="260"/>
      <c r="H184" s="260"/>
      <c r="I184" s="260"/>
      <c r="J184" s="260"/>
      <c r="K184">
        <f t="shared" si="6"/>
        <v>0</v>
      </c>
    </row>
    <row r="185" spans="2:11" x14ac:dyDescent="0.25">
      <c r="B185" s="252" t="s">
        <v>3296</v>
      </c>
      <c r="C185" s="252"/>
      <c r="D185" s="252"/>
      <c r="E185" s="253" t="s">
        <v>3400</v>
      </c>
      <c r="F185" s="252"/>
      <c r="G185" s="254"/>
      <c r="H185" s="255"/>
      <c r="I185" s="255"/>
      <c r="J185" s="255"/>
      <c r="K185">
        <f t="shared" si="6"/>
        <v>0</v>
      </c>
    </row>
    <row r="186" spans="2:11" ht="33.75" x14ac:dyDescent="0.25">
      <c r="B186" s="244" t="s">
        <v>3298</v>
      </c>
      <c r="C186" s="244" t="s">
        <v>1512</v>
      </c>
      <c r="D186" s="244" t="s">
        <v>2882</v>
      </c>
      <c r="E186" s="245" t="s">
        <v>3299</v>
      </c>
      <c r="F186" s="244" t="s">
        <v>473</v>
      </c>
      <c r="G186" s="256">
        <v>14.96</v>
      </c>
      <c r="H186" s="256">
        <v>31.17</v>
      </c>
      <c r="I186" s="256">
        <v>38.94</v>
      </c>
      <c r="J186" s="257">
        <f>ROUND(G186*I186,2)</f>
        <v>582.54</v>
      </c>
      <c r="K186">
        <f t="shared" si="6"/>
        <v>466.30320000000006</v>
      </c>
    </row>
    <row r="187" spans="2:11" ht="33.75" x14ac:dyDescent="0.25">
      <c r="B187" s="244" t="s">
        <v>3393</v>
      </c>
      <c r="C187" s="244" t="s">
        <v>1515</v>
      </c>
      <c r="D187" s="244" t="s">
        <v>2882</v>
      </c>
      <c r="E187" s="245" t="s">
        <v>3301</v>
      </c>
      <c r="F187" s="244" t="s">
        <v>473</v>
      </c>
      <c r="G187" s="256">
        <v>78.650000000000006</v>
      </c>
      <c r="H187" s="256">
        <v>46.45</v>
      </c>
      <c r="I187" s="256">
        <v>58.03</v>
      </c>
      <c r="J187" s="257">
        <f>ROUND(G187*I187,2)</f>
        <v>4564.0600000000004</v>
      </c>
      <c r="K187">
        <f t="shared" si="6"/>
        <v>3653.2925000000005</v>
      </c>
    </row>
    <row r="188" spans="2:11" ht="33.75" x14ac:dyDescent="0.25">
      <c r="B188" s="244" t="s">
        <v>3394</v>
      </c>
      <c r="C188" s="244" t="s">
        <v>1521</v>
      </c>
      <c r="D188" s="244" t="s">
        <v>2882</v>
      </c>
      <c r="E188" s="245" t="s">
        <v>3305</v>
      </c>
      <c r="F188" s="244" t="s">
        <v>473</v>
      </c>
      <c r="G188" s="256">
        <v>40.369999999999997</v>
      </c>
      <c r="H188" s="256">
        <v>36.130000000000003</v>
      </c>
      <c r="I188" s="256">
        <v>45.14</v>
      </c>
      <c r="J188" s="257">
        <f>ROUND(G188*I188,2)</f>
        <v>1822.3</v>
      </c>
      <c r="K188">
        <f t="shared" si="6"/>
        <v>1458.5681</v>
      </c>
    </row>
    <row r="189" spans="2:11" ht="33.75" x14ac:dyDescent="0.25">
      <c r="B189" s="244" t="s">
        <v>3395</v>
      </c>
      <c r="C189" s="244" t="s">
        <v>1524</v>
      </c>
      <c r="D189" s="244" t="s">
        <v>2882</v>
      </c>
      <c r="E189" s="245" t="s">
        <v>3307</v>
      </c>
      <c r="F189" s="244" t="s">
        <v>473</v>
      </c>
      <c r="G189" s="256">
        <v>25.47</v>
      </c>
      <c r="H189" s="256">
        <v>11.96</v>
      </c>
      <c r="I189" s="256">
        <v>14.94</v>
      </c>
      <c r="J189" s="257">
        <f>ROUND(G189*I189,2)</f>
        <v>380.52</v>
      </c>
      <c r="K189">
        <f t="shared" si="6"/>
        <v>304.62119999999999</v>
      </c>
    </row>
    <row r="190" spans="2:11" x14ac:dyDescent="0.25">
      <c r="B190" s="252" t="s">
        <v>3310</v>
      </c>
      <c r="C190" s="252"/>
      <c r="D190" s="252"/>
      <c r="E190" s="253" t="s">
        <v>3401</v>
      </c>
      <c r="F190" s="252"/>
      <c r="G190" s="254"/>
      <c r="H190" s="255"/>
      <c r="I190" s="255"/>
      <c r="J190" s="255"/>
      <c r="K190">
        <f t="shared" si="6"/>
        <v>0</v>
      </c>
    </row>
    <row r="191" spans="2:11" x14ac:dyDescent="0.25">
      <c r="B191" s="261" t="s">
        <v>3312</v>
      </c>
      <c r="C191" s="261"/>
      <c r="D191" s="261"/>
      <c r="E191" s="262" t="s">
        <v>3313</v>
      </c>
      <c r="F191" s="261"/>
      <c r="G191" s="263"/>
      <c r="H191" s="263"/>
      <c r="I191" s="263"/>
      <c r="J191" s="264"/>
      <c r="K191">
        <f t="shared" si="6"/>
        <v>0</v>
      </c>
    </row>
    <row r="192" spans="2:11" x14ac:dyDescent="0.25">
      <c r="B192" s="244" t="s">
        <v>3314</v>
      </c>
      <c r="C192" s="244" t="s">
        <v>1446</v>
      </c>
      <c r="D192" s="244" t="s">
        <v>2882</v>
      </c>
      <c r="E192" s="245" t="s">
        <v>3315</v>
      </c>
      <c r="F192" s="244" t="s">
        <v>1082</v>
      </c>
      <c r="G192" s="256">
        <v>2</v>
      </c>
      <c r="H192" s="256">
        <v>277.81</v>
      </c>
      <c r="I192" s="256">
        <v>347.07</v>
      </c>
      <c r="J192" s="257">
        <f>ROUND(G192*I192,2)</f>
        <v>694.14</v>
      </c>
      <c r="K192">
        <f t="shared" si="6"/>
        <v>555.62</v>
      </c>
    </row>
    <row r="193" spans="2:11" x14ac:dyDescent="0.25">
      <c r="B193" s="244" t="s">
        <v>3316</v>
      </c>
      <c r="C193" s="244" t="s">
        <v>1530</v>
      </c>
      <c r="D193" s="244" t="s">
        <v>2956</v>
      </c>
      <c r="E193" s="245" t="s">
        <v>3317</v>
      </c>
      <c r="F193" s="244" t="s">
        <v>378</v>
      </c>
      <c r="G193" s="256">
        <v>13.7</v>
      </c>
      <c r="H193" s="256">
        <v>140.58000000000001</v>
      </c>
      <c r="I193" s="256">
        <v>175.63</v>
      </c>
      <c r="J193" s="257">
        <f>ROUND(G193*I193,2)</f>
        <v>2406.13</v>
      </c>
      <c r="K193">
        <f t="shared" si="6"/>
        <v>1925.9460000000001</v>
      </c>
    </row>
    <row r="194" spans="2:11" x14ac:dyDescent="0.25">
      <c r="B194" s="261" t="s">
        <v>3318</v>
      </c>
      <c r="C194" s="261"/>
      <c r="D194" s="261"/>
      <c r="E194" s="262" t="s">
        <v>3323</v>
      </c>
      <c r="F194" s="261"/>
      <c r="G194" s="263"/>
      <c r="H194" s="263"/>
      <c r="I194" s="263"/>
      <c r="J194" s="266"/>
      <c r="K194">
        <f t="shared" si="6"/>
        <v>0</v>
      </c>
    </row>
    <row r="195" spans="2:11" x14ac:dyDescent="0.25">
      <c r="B195" s="244" t="s">
        <v>3320</v>
      </c>
      <c r="C195" s="244" t="s">
        <v>1527</v>
      </c>
      <c r="D195" s="244" t="s">
        <v>2956</v>
      </c>
      <c r="E195" s="245" t="s">
        <v>3321</v>
      </c>
      <c r="F195" s="244" t="s">
        <v>1082</v>
      </c>
      <c r="G195" s="256">
        <v>1</v>
      </c>
      <c r="H195" s="256">
        <v>181.41</v>
      </c>
      <c r="I195" s="256">
        <v>226.64</v>
      </c>
      <c r="J195" s="257">
        <f>ROUND(G195*I195,2)</f>
        <v>226.64</v>
      </c>
      <c r="K195">
        <f t="shared" si="6"/>
        <v>181.41</v>
      </c>
    </row>
    <row r="196" spans="2:11" x14ac:dyDescent="0.25">
      <c r="B196" s="252" t="s">
        <v>3325</v>
      </c>
      <c r="C196" s="252"/>
      <c r="D196" s="252"/>
      <c r="E196" s="253" t="s">
        <v>3326</v>
      </c>
      <c r="F196" s="252"/>
      <c r="G196" s="254"/>
      <c r="H196" s="255"/>
      <c r="I196" s="255"/>
      <c r="J196" s="255"/>
      <c r="K196">
        <f t="shared" si="6"/>
        <v>0</v>
      </c>
    </row>
    <row r="197" spans="2:11" ht="33.75" x14ac:dyDescent="0.25">
      <c r="B197" s="244" t="s">
        <v>3327</v>
      </c>
      <c r="C197" s="244" t="s">
        <v>1473</v>
      </c>
      <c r="D197" s="244" t="s">
        <v>2882</v>
      </c>
      <c r="E197" s="245" t="s">
        <v>3330</v>
      </c>
      <c r="F197" s="244" t="s">
        <v>1082</v>
      </c>
      <c r="G197" s="256">
        <v>5</v>
      </c>
      <c r="H197" s="256">
        <v>4.63</v>
      </c>
      <c r="I197" s="256">
        <v>5.78</v>
      </c>
      <c r="J197" s="257">
        <f>ROUND(G197*I197,2)</f>
        <v>28.9</v>
      </c>
      <c r="K197">
        <f t="shared" si="6"/>
        <v>23.15</v>
      </c>
    </row>
    <row r="198" spans="2:11" ht="33.75" x14ac:dyDescent="0.25">
      <c r="B198" s="244" t="s">
        <v>3402</v>
      </c>
      <c r="C198" s="244" t="s">
        <v>1479</v>
      </c>
      <c r="D198" s="244" t="s">
        <v>2882</v>
      </c>
      <c r="E198" s="245" t="s">
        <v>3334</v>
      </c>
      <c r="F198" s="244" t="s">
        <v>1082</v>
      </c>
      <c r="G198" s="256">
        <v>1</v>
      </c>
      <c r="H198" s="256">
        <v>6.22</v>
      </c>
      <c r="I198" s="256">
        <v>7.77</v>
      </c>
      <c r="J198" s="257">
        <f t="shared" ref="J198:J209" si="8">ROUND(G198*I198,2)</f>
        <v>7.77</v>
      </c>
      <c r="K198">
        <f t="shared" si="6"/>
        <v>6.22</v>
      </c>
    </row>
    <row r="199" spans="2:11" ht="33.75" x14ac:dyDescent="0.25">
      <c r="B199" s="244" t="s">
        <v>3403</v>
      </c>
      <c r="C199" s="244" t="s">
        <v>1470</v>
      </c>
      <c r="D199" s="244" t="s">
        <v>2882</v>
      </c>
      <c r="E199" s="245" t="s">
        <v>3338</v>
      </c>
      <c r="F199" s="244" t="s">
        <v>1082</v>
      </c>
      <c r="G199" s="256">
        <v>10</v>
      </c>
      <c r="H199" s="256">
        <v>4.47</v>
      </c>
      <c r="I199" s="256">
        <v>5.58</v>
      </c>
      <c r="J199" s="257">
        <f t="shared" si="8"/>
        <v>55.8</v>
      </c>
      <c r="K199">
        <f t="shared" si="6"/>
        <v>44.699999999999996</v>
      </c>
    </row>
    <row r="200" spans="2:11" ht="33.75" x14ac:dyDescent="0.25">
      <c r="B200" s="244" t="s">
        <v>3404</v>
      </c>
      <c r="C200" s="244" t="s">
        <v>1476</v>
      </c>
      <c r="D200" s="244" t="s">
        <v>2882</v>
      </c>
      <c r="E200" s="245" t="s">
        <v>3344</v>
      </c>
      <c r="F200" s="244" t="s">
        <v>1082</v>
      </c>
      <c r="G200" s="256">
        <v>12</v>
      </c>
      <c r="H200" s="256">
        <v>5.81</v>
      </c>
      <c r="I200" s="256">
        <v>7.26</v>
      </c>
      <c r="J200" s="257">
        <f t="shared" si="8"/>
        <v>87.12</v>
      </c>
      <c r="K200">
        <f t="shared" si="6"/>
        <v>69.72</v>
      </c>
    </row>
    <row r="201" spans="2:11" ht="33.75" x14ac:dyDescent="0.25">
      <c r="B201" s="244" t="s">
        <v>3405</v>
      </c>
      <c r="C201" s="244" t="s">
        <v>1488</v>
      </c>
      <c r="D201" s="244" t="s">
        <v>2882</v>
      </c>
      <c r="E201" s="245" t="s">
        <v>3346</v>
      </c>
      <c r="F201" s="244" t="s">
        <v>1082</v>
      </c>
      <c r="G201" s="256">
        <v>6</v>
      </c>
      <c r="H201" s="256">
        <v>13.19</v>
      </c>
      <c r="I201" s="256">
        <v>16.48</v>
      </c>
      <c r="J201" s="257">
        <f t="shared" si="8"/>
        <v>98.88</v>
      </c>
      <c r="K201">
        <f t="shared" si="6"/>
        <v>79.14</v>
      </c>
    </row>
    <row r="202" spans="2:11" ht="22.5" x14ac:dyDescent="0.25">
      <c r="B202" s="244" t="s">
        <v>3406</v>
      </c>
      <c r="C202" s="244" t="s">
        <v>1509</v>
      </c>
      <c r="D202" s="244" t="s">
        <v>2882</v>
      </c>
      <c r="E202" s="245" t="s">
        <v>3407</v>
      </c>
      <c r="F202" s="244" t="s">
        <v>1082</v>
      </c>
      <c r="G202" s="256">
        <v>1</v>
      </c>
      <c r="H202" s="256">
        <v>59.79</v>
      </c>
      <c r="I202" s="256">
        <v>74.7</v>
      </c>
      <c r="J202" s="257">
        <f t="shared" si="8"/>
        <v>74.7</v>
      </c>
      <c r="K202">
        <f t="shared" ref="K202:K265" si="9">G202*H202</f>
        <v>59.79</v>
      </c>
    </row>
    <row r="203" spans="2:11" x14ac:dyDescent="0.25">
      <c r="B203" s="244" t="s">
        <v>3408</v>
      </c>
      <c r="C203" s="244" t="s">
        <v>1533</v>
      </c>
      <c r="D203" s="244" t="s">
        <v>2956</v>
      </c>
      <c r="E203" s="245" t="s">
        <v>3350</v>
      </c>
      <c r="F203" s="244" t="s">
        <v>1082</v>
      </c>
      <c r="G203" s="256">
        <v>2</v>
      </c>
      <c r="H203" s="256">
        <v>17.95</v>
      </c>
      <c r="I203" s="256">
        <v>22.42</v>
      </c>
      <c r="J203" s="257">
        <f t="shared" si="8"/>
        <v>44.84</v>
      </c>
      <c r="K203">
        <f t="shared" si="9"/>
        <v>35.9</v>
      </c>
    </row>
    <row r="204" spans="2:11" x14ac:dyDescent="0.25">
      <c r="B204" s="244" t="s">
        <v>3409</v>
      </c>
      <c r="C204" s="244" t="s">
        <v>1264</v>
      </c>
      <c r="D204" s="244" t="s">
        <v>2956</v>
      </c>
      <c r="E204" s="245" t="s">
        <v>3354</v>
      </c>
      <c r="F204" s="244" t="s">
        <v>1082</v>
      </c>
      <c r="G204" s="256">
        <v>2</v>
      </c>
      <c r="H204" s="256">
        <v>121.83</v>
      </c>
      <c r="I204" s="256">
        <v>152.19999999999999</v>
      </c>
      <c r="J204" s="257">
        <f t="shared" si="8"/>
        <v>304.39999999999998</v>
      </c>
      <c r="K204">
        <f t="shared" si="9"/>
        <v>243.66</v>
      </c>
    </row>
    <row r="205" spans="2:11" x14ac:dyDescent="0.25">
      <c r="B205" s="244" t="s">
        <v>3410</v>
      </c>
      <c r="C205" s="244" t="s">
        <v>1547</v>
      </c>
      <c r="D205" s="244" t="s">
        <v>2956</v>
      </c>
      <c r="E205" s="245" t="s">
        <v>3360</v>
      </c>
      <c r="F205" s="244" t="s">
        <v>1082</v>
      </c>
      <c r="G205" s="256">
        <v>4</v>
      </c>
      <c r="H205" s="256">
        <v>23.99</v>
      </c>
      <c r="I205" s="256">
        <v>29.97</v>
      </c>
      <c r="J205" s="257">
        <f t="shared" si="8"/>
        <v>119.88</v>
      </c>
      <c r="K205">
        <f t="shared" si="9"/>
        <v>95.96</v>
      </c>
    </row>
    <row r="206" spans="2:11" x14ac:dyDescent="0.25">
      <c r="B206" s="244" t="s">
        <v>3411</v>
      </c>
      <c r="C206" s="244" t="s">
        <v>1550</v>
      </c>
      <c r="D206" s="244" t="s">
        <v>2956</v>
      </c>
      <c r="E206" s="245" t="s">
        <v>3368</v>
      </c>
      <c r="F206" s="244" t="s">
        <v>1082</v>
      </c>
      <c r="G206" s="256">
        <v>1</v>
      </c>
      <c r="H206" s="256">
        <v>24.3</v>
      </c>
      <c r="I206" s="256">
        <v>30.36</v>
      </c>
      <c r="J206" s="257">
        <f t="shared" si="8"/>
        <v>30.36</v>
      </c>
      <c r="K206">
        <f t="shared" si="9"/>
        <v>24.3</v>
      </c>
    </row>
    <row r="207" spans="2:11" x14ac:dyDescent="0.25">
      <c r="B207" s="244" t="s">
        <v>3412</v>
      </c>
      <c r="C207" s="244" t="s">
        <v>1556</v>
      </c>
      <c r="D207" s="244" t="s">
        <v>2956</v>
      </c>
      <c r="E207" s="245" t="s">
        <v>3389</v>
      </c>
      <c r="F207" s="244" t="s">
        <v>1082</v>
      </c>
      <c r="G207" s="256">
        <v>4</v>
      </c>
      <c r="H207" s="256">
        <v>14.7</v>
      </c>
      <c r="I207" s="256">
        <v>18.36</v>
      </c>
      <c r="J207" s="257">
        <f t="shared" si="8"/>
        <v>73.44</v>
      </c>
      <c r="K207">
        <f t="shared" si="9"/>
        <v>58.8</v>
      </c>
    </row>
    <row r="208" spans="2:11" ht="22.5" x14ac:dyDescent="0.25">
      <c r="B208" s="244" t="s">
        <v>3413</v>
      </c>
      <c r="C208" s="244" t="s">
        <v>1467</v>
      </c>
      <c r="D208" s="244" t="s">
        <v>2882</v>
      </c>
      <c r="E208" s="245" t="s">
        <v>3378</v>
      </c>
      <c r="F208" s="244" t="s">
        <v>1082</v>
      </c>
      <c r="G208" s="256">
        <v>2</v>
      </c>
      <c r="H208" s="256">
        <v>7.56</v>
      </c>
      <c r="I208" s="256">
        <v>9.44</v>
      </c>
      <c r="J208" s="257">
        <f t="shared" si="8"/>
        <v>18.88</v>
      </c>
      <c r="K208">
        <f t="shared" si="9"/>
        <v>15.12</v>
      </c>
    </row>
    <row r="209" spans="2:11" x14ac:dyDescent="0.25">
      <c r="B209" s="244" t="s">
        <v>3414</v>
      </c>
      <c r="C209" s="244" t="s">
        <v>1574</v>
      </c>
      <c r="D209" s="244" t="s">
        <v>3164</v>
      </c>
      <c r="E209" s="245" t="s">
        <v>1575</v>
      </c>
      <c r="F209" s="244" t="s">
        <v>1082</v>
      </c>
      <c r="G209" s="256">
        <v>5</v>
      </c>
      <c r="H209" s="256">
        <v>35.75</v>
      </c>
      <c r="I209" s="256">
        <v>44.66</v>
      </c>
      <c r="J209" s="257">
        <f t="shared" si="8"/>
        <v>223.3</v>
      </c>
      <c r="K209">
        <f t="shared" si="9"/>
        <v>178.75</v>
      </c>
    </row>
    <row r="210" spans="2:11" x14ac:dyDescent="0.25">
      <c r="B210" s="660" t="s">
        <v>3294</v>
      </c>
      <c r="C210" s="660"/>
      <c r="D210" s="660"/>
      <c r="E210" s="250" t="s">
        <v>3415</v>
      </c>
      <c r="F210" s="660"/>
      <c r="G210" s="260"/>
      <c r="H210" s="260"/>
      <c r="I210" s="260"/>
      <c r="J210" s="260"/>
      <c r="K210">
        <f t="shared" si="9"/>
        <v>0</v>
      </c>
    </row>
    <row r="211" spans="2:11" x14ac:dyDescent="0.25">
      <c r="B211" s="252" t="s">
        <v>3296</v>
      </c>
      <c r="C211" s="252"/>
      <c r="D211" s="252"/>
      <c r="E211" s="253" t="s">
        <v>3297</v>
      </c>
      <c r="F211" s="252"/>
      <c r="G211" s="254"/>
      <c r="H211" s="255"/>
      <c r="I211" s="255"/>
      <c r="J211" s="255"/>
      <c r="K211">
        <f t="shared" si="9"/>
        <v>0</v>
      </c>
    </row>
    <row r="212" spans="2:11" ht="33.75" x14ac:dyDescent="0.25">
      <c r="B212" s="244" t="s">
        <v>3298</v>
      </c>
      <c r="C212" s="244" t="s">
        <v>1512</v>
      </c>
      <c r="D212" s="244" t="s">
        <v>2882</v>
      </c>
      <c r="E212" s="245" t="s">
        <v>3299</v>
      </c>
      <c r="F212" s="244" t="s">
        <v>473</v>
      </c>
      <c r="G212" s="246">
        <v>163.52000000000001</v>
      </c>
      <c r="H212" s="246">
        <v>31.17</v>
      </c>
      <c r="I212" s="246">
        <v>38.94</v>
      </c>
      <c r="J212" s="246">
        <f>ROUND(G212*I212,2)</f>
        <v>6367.47</v>
      </c>
      <c r="K212">
        <f t="shared" si="9"/>
        <v>5096.9184000000005</v>
      </c>
    </row>
    <row r="213" spans="2:11" ht="33.75" x14ac:dyDescent="0.25">
      <c r="B213" s="244" t="s">
        <v>3300</v>
      </c>
      <c r="C213" s="244" t="s">
        <v>1515</v>
      </c>
      <c r="D213" s="244" t="s">
        <v>2882</v>
      </c>
      <c r="E213" s="245" t="s">
        <v>3301</v>
      </c>
      <c r="F213" s="244" t="s">
        <v>473</v>
      </c>
      <c r="G213" s="246">
        <v>189.5</v>
      </c>
      <c r="H213" s="246">
        <v>46.45</v>
      </c>
      <c r="I213" s="246">
        <v>58.03</v>
      </c>
      <c r="J213" s="246">
        <f>ROUND(G213*I213,2)</f>
        <v>10996.69</v>
      </c>
      <c r="K213">
        <f t="shared" si="9"/>
        <v>8802.2749999999996</v>
      </c>
    </row>
    <row r="214" spans="2:11" ht="33.75" x14ac:dyDescent="0.25">
      <c r="B214" s="244" t="s">
        <v>3302</v>
      </c>
      <c r="C214" s="244" t="s">
        <v>1518</v>
      </c>
      <c r="D214" s="244" t="s">
        <v>2882</v>
      </c>
      <c r="E214" s="245" t="s">
        <v>3303</v>
      </c>
      <c r="F214" s="244" t="s">
        <v>473</v>
      </c>
      <c r="G214" s="246">
        <v>52.36</v>
      </c>
      <c r="H214" s="246">
        <v>21.08</v>
      </c>
      <c r="I214" s="246">
        <v>26.34</v>
      </c>
      <c r="J214" s="246">
        <f>ROUND(G214*I214,2)</f>
        <v>1379.16</v>
      </c>
      <c r="K214">
        <f t="shared" si="9"/>
        <v>1103.7487999999998</v>
      </c>
    </row>
    <row r="215" spans="2:11" ht="33.75" x14ac:dyDescent="0.25">
      <c r="B215" s="244" t="s">
        <v>3304</v>
      </c>
      <c r="C215" s="244" t="s">
        <v>1521</v>
      </c>
      <c r="D215" s="244" t="s">
        <v>2882</v>
      </c>
      <c r="E215" s="245" t="s">
        <v>3305</v>
      </c>
      <c r="F215" s="244" t="s">
        <v>473</v>
      </c>
      <c r="G215" s="246">
        <v>77.349999999999994</v>
      </c>
      <c r="H215" s="246">
        <v>36.130000000000003</v>
      </c>
      <c r="I215" s="246">
        <v>45.14</v>
      </c>
      <c r="J215" s="246">
        <f>ROUND(G215*I215,2)</f>
        <v>3491.58</v>
      </c>
      <c r="K215">
        <f t="shared" si="9"/>
        <v>2794.6554999999998</v>
      </c>
    </row>
    <row r="216" spans="2:11" x14ac:dyDescent="0.25">
      <c r="B216" s="252" t="s">
        <v>3310</v>
      </c>
      <c r="C216" s="252"/>
      <c r="D216" s="252"/>
      <c r="E216" s="253" t="s">
        <v>3326</v>
      </c>
      <c r="F216" s="252"/>
      <c r="G216" s="254"/>
      <c r="H216" s="255"/>
      <c r="I216" s="255"/>
      <c r="J216" s="255"/>
      <c r="K216">
        <f t="shared" si="9"/>
        <v>0</v>
      </c>
    </row>
    <row r="217" spans="2:11" ht="33.75" x14ac:dyDescent="0.25">
      <c r="B217" s="244" t="s">
        <v>3312</v>
      </c>
      <c r="C217" s="244" t="s">
        <v>1473</v>
      </c>
      <c r="D217" s="244" t="s">
        <v>2882</v>
      </c>
      <c r="E217" s="245" t="s">
        <v>3330</v>
      </c>
      <c r="F217" s="244" t="s">
        <v>1082</v>
      </c>
      <c r="G217" s="246">
        <v>128</v>
      </c>
      <c r="H217" s="246">
        <v>4.63</v>
      </c>
      <c r="I217" s="246">
        <v>5.78</v>
      </c>
      <c r="J217" s="246">
        <f>ROUND(G217*I217,2)</f>
        <v>739.84</v>
      </c>
      <c r="K217">
        <f t="shared" si="9"/>
        <v>592.64</v>
      </c>
    </row>
    <row r="218" spans="2:11" ht="33.75" x14ac:dyDescent="0.25">
      <c r="B218" s="244" t="s">
        <v>3318</v>
      </c>
      <c r="C218" s="244" t="s">
        <v>1479</v>
      </c>
      <c r="D218" s="244" t="s">
        <v>2882</v>
      </c>
      <c r="E218" s="245" t="s">
        <v>3334</v>
      </c>
      <c r="F218" s="244" t="s">
        <v>1082</v>
      </c>
      <c r="G218" s="246">
        <v>16</v>
      </c>
      <c r="H218" s="246">
        <v>6.22</v>
      </c>
      <c r="I218" s="246">
        <v>7.77</v>
      </c>
      <c r="J218" s="246">
        <f t="shared" ref="J218:J242" si="10">ROUND(G218*I218,2)</f>
        <v>124.32</v>
      </c>
      <c r="K218">
        <f t="shared" si="9"/>
        <v>99.52</v>
      </c>
    </row>
    <row r="219" spans="2:11" ht="33.75" x14ac:dyDescent="0.25">
      <c r="B219" s="244" t="s">
        <v>3322</v>
      </c>
      <c r="C219" s="244" t="s">
        <v>1491</v>
      </c>
      <c r="D219" s="244" t="s">
        <v>2882</v>
      </c>
      <c r="E219" s="245" t="s">
        <v>3336</v>
      </c>
      <c r="F219" s="244" t="s">
        <v>1082</v>
      </c>
      <c r="G219" s="246">
        <v>38</v>
      </c>
      <c r="H219" s="246">
        <v>12.82</v>
      </c>
      <c r="I219" s="246">
        <v>16.02</v>
      </c>
      <c r="J219" s="246">
        <f t="shared" si="10"/>
        <v>608.76</v>
      </c>
      <c r="K219">
        <f t="shared" si="9"/>
        <v>487.16</v>
      </c>
    </row>
    <row r="220" spans="2:11" ht="33.75" x14ac:dyDescent="0.25">
      <c r="B220" s="244" t="s">
        <v>3416</v>
      </c>
      <c r="C220" s="244" t="s">
        <v>1470</v>
      </c>
      <c r="D220" s="244" t="s">
        <v>2882</v>
      </c>
      <c r="E220" s="245" t="s">
        <v>3338</v>
      </c>
      <c r="F220" s="244" t="s">
        <v>1082</v>
      </c>
      <c r="G220" s="246">
        <v>163</v>
      </c>
      <c r="H220" s="246">
        <v>4.47</v>
      </c>
      <c r="I220" s="246">
        <v>5.58</v>
      </c>
      <c r="J220" s="246">
        <f t="shared" si="10"/>
        <v>909.54</v>
      </c>
      <c r="K220">
        <f t="shared" si="9"/>
        <v>728.61</v>
      </c>
    </row>
    <row r="221" spans="2:11" ht="33.75" x14ac:dyDescent="0.25">
      <c r="B221" s="244" t="s">
        <v>3417</v>
      </c>
      <c r="C221" s="244" t="s">
        <v>1476</v>
      </c>
      <c r="D221" s="244" t="s">
        <v>2882</v>
      </c>
      <c r="E221" s="245" t="s">
        <v>3344</v>
      </c>
      <c r="F221" s="244" t="s">
        <v>1082</v>
      </c>
      <c r="G221" s="246">
        <v>13</v>
      </c>
      <c r="H221" s="246">
        <v>5.81</v>
      </c>
      <c r="I221" s="246">
        <v>7.26</v>
      </c>
      <c r="J221" s="246">
        <f t="shared" si="10"/>
        <v>94.38</v>
      </c>
      <c r="K221">
        <f t="shared" si="9"/>
        <v>75.53</v>
      </c>
    </row>
    <row r="222" spans="2:11" ht="33.75" x14ac:dyDescent="0.25">
      <c r="B222" s="244" t="s">
        <v>3418</v>
      </c>
      <c r="C222" s="244" t="s">
        <v>1488</v>
      </c>
      <c r="D222" s="244" t="s">
        <v>2882</v>
      </c>
      <c r="E222" s="245" t="s">
        <v>3346</v>
      </c>
      <c r="F222" s="244" t="s">
        <v>1082</v>
      </c>
      <c r="G222" s="246">
        <v>50</v>
      </c>
      <c r="H222" s="246">
        <v>13.19</v>
      </c>
      <c r="I222" s="246">
        <v>16.48</v>
      </c>
      <c r="J222" s="246">
        <f t="shared" si="10"/>
        <v>824</v>
      </c>
      <c r="K222">
        <f t="shared" si="9"/>
        <v>659.5</v>
      </c>
    </row>
    <row r="223" spans="2:11" ht="33.75" x14ac:dyDescent="0.25">
      <c r="B223" s="244" t="s">
        <v>3419</v>
      </c>
      <c r="C223" s="244" t="s">
        <v>1482</v>
      </c>
      <c r="D223" s="244" t="s">
        <v>2882</v>
      </c>
      <c r="E223" s="245" t="s">
        <v>3348</v>
      </c>
      <c r="F223" s="244" t="s">
        <v>1082</v>
      </c>
      <c r="G223" s="246">
        <v>63</v>
      </c>
      <c r="H223" s="246">
        <v>9.86</v>
      </c>
      <c r="I223" s="246">
        <v>12.32</v>
      </c>
      <c r="J223" s="246">
        <f t="shared" si="10"/>
        <v>776.16</v>
      </c>
      <c r="K223">
        <f t="shared" si="9"/>
        <v>621.17999999999995</v>
      </c>
    </row>
    <row r="224" spans="2:11" ht="22.5" x14ac:dyDescent="0.25">
      <c r="B224" s="244" t="s">
        <v>3420</v>
      </c>
      <c r="C224" s="244" t="s">
        <v>1580</v>
      </c>
      <c r="D224" s="244" t="s">
        <v>504</v>
      </c>
      <c r="E224" s="245" t="s">
        <v>1581</v>
      </c>
      <c r="F224" s="244" t="s">
        <v>1082</v>
      </c>
      <c r="G224" s="246">
        <v>2</v>
      </c>
      <c r="H224" s="246">
        <v>37.78</v>
      </c>
      <c r="I224" s="246">
        <v>47.2</v>
      </c>
      <c r="J224" s="246">
        <f t="shared" si="10"/>
        <v>94.4</v>
      </c>
      <c r="K224">
        <f t="shared" si="9"/>
        <v>75.56</v>
      </c>
    </row>
    <row r="225" spans="2:11" x14ac:dyDescent="0.25">
      <c r="B225" s="244" t="s">
        <v>3421</v>
      </c>
      <c r="C225" s="244" t="s">
        <v>1533</v>
      </c>
      <c r="D225" s="244" t="s">
        <v>2956</v>
      </c>
      <c r="E225" s="245" t="s">
        <v>3350</v>
      </c>
      <c r="F225" s="244" t="s">
        <v>1082</v>
      </c>
      <c r="G225" s="246">
        <v>40</v>
      </c>
      <c r="H225" s="246">
        <v>17.95</v>
      </c>
      <c r="I225" s="246">
        <v>22.42</v>
      </c>
      <c r="J225" s="246">
        <f t="shared" si="10"/>
        <v>896.8</v>
      </c>
      <c r="K225">
        <f t="shared" si="9"/>
        <v>718</v>
      </c>
    </row>
    <row r="226" spans="2:11" x14ac:dyDescent="0.25">
      <c r="B226" s="244" t="s">
        <v>3422</v>
      </c>
      <c r="C226" s="244" t="s">
        <v>1539</v>
      </c>
      <c r="D226" s="244" t="s">
        <v>2956</v>
      </c>
      <c r="E226" s="245" t="s">
        <v>3352</v>
      </c>
      <c r="F226" s="244" t="s">
        <v>1082</v>
      </c>
      <c r="G226" s="246">
        <v>2</v>
      </c>
      <c r="H226" s="246">
        <v>56.33</v>
      </c>
      <c r="I226" s="246">
        <v>70.37</v>
      </c>
      <c r="J226" s="246">
        <f t="shared" si="10"/>
        <v>140.74</v>
      </c>
      <c r="K226">
        <f t="shared" si="9"/>
        <v>112.66</v>
      </c>
    </row>
    <row r="227" spans="2:11" x14ac:dyDescent="0.25">
      <c r="B227" s="244" t="s">
        <v>3423</v>
      </c>
      <c r="C227" s="244" t="s">
        <v>1264</v>
      </c>
      <c r="D227" s="244" t="s">
        <v>2956</v>
      </c>
      <c r="E227" s="245" t="s">
        <v>3354</v>
      </c>
      <c r="F227" s="244" t="s">
        <v>1082</v>
      </c>
      <c r="G227" s="246">
        <v>10</v>
      </c>
      <c r="H227" s="246">
        <v>121.83</v>
      </c>
      <c r="I227" s="246">
        <v>152.19999999999999</v>
      </c>
      <c r="J227" s="246">
        <f t="shared" si="10"/>
        <v>1522</v>
      </c>
      <c r="K227">
        <f t="shared" si="9"/>
        <v>1218.3</v>
      </c>
    </row>
    <row r="228" spans="2:11" ht="33.75" x14ac:dyDescent="0.25">
      <c r="B228" s="244" t="s">
        <v>3424</v>
      </c>
      <c r="C228" s="244" t="s">
        <v>1506</v>
      </c>
      <c r="D228" s="244" t="s">
        <v>2882</v>
      </c>
      <c r="E228" s="245" t="s">
        <v>3356</v>
      </c>
      <c r="F228" s="244" t="s">
        <v>1082</v>
      </c>
      <c r="G228" s="246">
        <v>14</v>
      </c>
      <c r="H228" s="246">
        <v>24.11</v>
      </c>
      <c r="I228" s="246">
        <v>30.12</v>
      </c>
      <c r="J228" s="246">
        <f t="shared" si="10"/>
        <v>421.68</v>
      </c>
      <c r="K228">
        <f t="shared" si="9"/>
        <v>337.53999999999996</v>
      </c>
    </row>
    <row r="229" spans="2:11" ht="22.5" x14ac:dyDescent="0.25">
      <c r="B229" s="244" t="s">
        <v>3425</v>
      </c>
      <c r="C229" s="244" t="s">
        <v>1458</v>
      </c>
      <c r="D229" s="244" t="s">
        <v>2882</v>
      </c>
      <c r="E229" s="245" t="s">
        <v>3358</v>
      </c>
      <c r="F229" s="244" t="s">
        <v>1082</v>
      </c>
      <c r="G229" s="246">
        <v>2</v>
      </c>
      <c r="H229" s="246">
        <v>39.659999999999997</v>
      </c>
      <c r="I229" s="246">
        <v>49.55</v>
      </c>
      <c r="J229" s="246">
        <f t="shared" si="10"/>
        <v>99.1</v>
      </c>
      <c r="K229">
        <f t="shared" si="9"/>
        <v>79.319999999999993</v>
      </c>
    </row>
    <row r="230" spans="2:11" x14ac:dyDescent="0.25">
      <c r="B230" s="244" t="s">
        <v>3426</v>
      </c>
      <c r="C230" s="244" t="s">
        <v>1547</v>
      </c>
      <c r="D230" s="244" t="s">
        <v>2956</v>
      </c>
      <c r="E230" s="245" t="s">
        <v>3360</v>
      </c>
      <c r="F230" s="244" t="s">
        <v>1082</v>
      </c>
      <c r="G230" s="246">
        <v>74</v>
      </c>
      <c r="H230" s="246">
        <v>23.99</v>
      </c>
      <c r="I230" s="246">
        <v>29.97</v>
      </c>
      <c r="J230" s="246">
        <f t="shared" si="10"/>
        <v>2217.7800000000002</v>
      </c>
      <c r="K230">
        <f t="shared" si="9"/>
        <v>1775.26</v>
      </c>
    </row>
    <row r="231" spans="2:11" x14ac:dyDescent="0.25">
      <c r="B231" s="244" t="s">
        <v>3427</v>
      </c>
      <c r="C231" s="244" t="s">
        <v>1544</v>
      </c>
      <c r="D231" s="244" t="s">
        <v>2956</v>
      </c>
      <c r="E231" s="245" t="s">
        <v>3364</v>
      </c>
      <c r="F231" s="244" t="s">
        <v>1082</v>
      </c>
      <c r="G231" s="246">
        <v>7</v>
      </c>
      <c r="H231" s="246">
        <v>22.49</v>
      </c>
      <c r="I231" s="246">
        <v>28.1</v>
      </c>
      <c r="J231" s="246">
        <f t="shared" si="10"/>
        <v>196.7</v>
      </c>
      <c r="K231">
        <f t="shared" si="9"/>
        <v>157.42999999999998</v>
      </c>
    </row>
    <row r="232" spans="2:11" ht="33.75" x14ac:dyDescent="0.25">
      <c r="B232" s="244" t="s">
        <v>3428</v>
      </c>
      <c r="C232" s="244" t="s">
        <v>1500</v>
      </c>
      <c r="D232" s="244" t="s">
        <v>2882</v>
      </c>
      <c r="E232" s="245" t="s">
        <v>3366</v>
      </c>
      <c r="F232" s="244" t="s">
        <v>1082</v>
      </c>
      <c r="G232" s="246">
        <v>6</v>
      </c>
      <c r="H232" s="246">
        <v>10.85</v>
      </c>
      <c r="I232" s="246">
        <v>13.55</v>
      </c>
      <c r="J232" s="246">
        <f t="shared" si="10"/>
        <v>81.3</v>
      </c>
      <c r="K232">
        <f t="shared" si="9"/>
        <v>65.099999999999994</v>
      </c>
    </row>
    <row r="233" spans="2:11" x14ac:dyDescent="0.25">
      <c r="B233" s="244" t="s">
        <v>3429</v>
      </c>
      <c r="C233" s="244" t="s">
        <v>1550</v>
      </c>
      <c r="D233" s="244" t="s">
        <v>2956</v>
      </c>
      <c r="E233" s="245" t="s">
        <v>3368</v>
      </c>
      <c r="F233" s="244" t="s">
        <v>1082</v>
      </c>
      <c r="G233" s="246">
        <v>1</v>
      </c>
      <c r="H233" s="246">
        <v>24.3</v>
      </c>
      <c r="I233" s="246">
        <v>30.36</v>
      </c>
      <c r="J233" s="246">
        <f t="shared" si="10"/>
        <v>30.36</v>
      </c>
      <c r="K233">
        <f t="shared" si="9"/>
        <v>24.3</v>
      </c>
    </row>
    <row r="234" spans="2:11" x14ac:dyDescent="0.25">
      <c r="B234" s="244" t="s">
        <v>3430</v>
      </c>
      <c r="C234" s="244" t="s">
        <v>1553</v>
      </c>
      <c r="D234" s="244" t="s">
        <v>2956</v>
      </c>
      <c r="E234" s="245" t="s">
        <v>3370</v>
      </c>
      <c r="F234" s="244" t="s">
        <v>1082</v>
      </c>
      <c r="G234" s="246">
        <v>35</v>
      </c>
      <c r="H234" s="246">
        <v>25.33</v>
      </c>
      <c r="I234" s="246">
        <v>31.64</v>
      </c>
      <c r="J234" s="246">
        <f t="shared" si="10"/>
        <v>1107.4000000000001</v>
      </c>
      <c r="K234">
        <f t="shared" si="9"/>
        <v>886.55</v>
      </c>
    </row>
    <row r="235" spans="2:11" x14ac:dyDescent="0.25">
      <c r="B235" s="244" t="s">
        <v>3431</v>
      </c>
      <c r="C235" s="244" t="s">
        <v>1562</v>
      </c>
      <c r="D235" s="244" t="s">
        <v>2956</v>
      </c>
      <c r="E235" s="245" t="s">
        <v>3372</v>
      </c>
      <c r="F235" s="244" t="s">
        <v>1082</v>
      </c>
      <c r="G235" s="246">
        <v>40</v>
      </c>
      <c r="H235" s="246">
        <v>22.44</v>
      </c>
      <c r="I235" s="246">
        <v>28.03</v>
      </c>
      <c r="J235" s="246">
        <f t="shared" si="10"/>
        <v>1121.2</v>
      </c>
      <c r="K235">
        <f t="shared" si="9"/>
        <v>897.6</v>
      </c>
    </row>
    <row r="236" spans="2:11" x14ac:dyDescent="0.25">
      <c r="B236" s="244" t="s">
        <v>3432</v>
      </c>
      <c r="C236" s="244" t="s">
        <v>1556</v>
      </c>
      <c r="D236" s="244" t="s">
        <v>2956</v>
      </c>
      <c r="E236" s="245" t="s">
        <v>3389</v>
      </c>
      <c r="F236" s="244" t="s">
        <v>1082</v>
      </c>
      <c r="G236" s="246">
        <v>1</v>
      </c>
      <c r="H236" s="246">
        <v>14.7</v>
      </c>
      <c r="I236" s="246">
        <v>18.36</v>
      </c>
      <c r="J236" s="246">
        <f t="shared" si="10"/>
        <v>18.36</v>
      </c>
      <c r="K236">
        <f t="shared" si="9"/>
        <v>14.7</v>
      </c>
    </row>
    <row r="237" spans="2:11" ht="22.5" x14ac:dyDescent="0.25">
      <c r="B237" s="244" t="s">
        <v>3433</v>
      </c>
      <c r="C237" s="244" t="s">
        <v>1467</v>
      </c>
      <c r="D237" s="244" t="s">
        <v>2882</v>
      </c>
      <c r="E237" s="245" t="s">
        <v>3378</v>
      </c>
      <c r="F237" s="244" t="s">
        <v>1082</v>
      </c>
      <c r="G237" s="246">
        <v>32</v>
      </c>
      <c r="H237" s="246">
        <v>7.56</v>
      </c>
      <c r="I237" s="246">
        <v>9.44</v>
      </c>
      <c r="J237" s="246">
        <f t="shared" si="10"/>
        <v>302.08</v>
      </c>
      <c r="K237">
        <f t="shared" si="9"/>
        <v>241.92</v>
      </c>
    </row>
    <row r="238" spans="2:11" x14ac:dyDescent="0.25">
      <c r="B238" s="244" t="s">
        <v>3433</v>
      </c>
      <c r="C238" s="244" t="s">
        <v>1577</v>
      </c>
      <c r="D238" s="244" t="s">
        <v>504</v>
      </c>
      <c r="E238" s="245" t="s">
        <v>1578</v>
      </c>
      <c r="F238" s="244" t="s">
        <v>1082</v>
      </c>
      <c r="G238" s="246">
        <v>36</v>
      </c>
      <c r="H238" s="246">
        <v>172.26</v>
      </c>
      <c r="I238" s="246">
        <v>215.2</v>
      </c>
      <c r="J238" s="246">
        <f t="shared" si="10"/>
        <v>7747.2</v>
      </c>
      <c r="K238">
        <f t="shared" si="9"/>
        <v>6201.36</v>
      </c>
    </row>
    <row r="239" spans="2:11" ht="22.5" x14ac:dyDescent="0.25">
      <c r="B239" s="244" t="s">
        <v>3434</v>
      </c>
      <c r="C239" s="244" t="s">
        <v>1464</v>
      </c>
      <c r="D239" s="244" t="s">
        <v>2882</v>
      </c>
      <c r="E239" s="245" t="s">
        <v>3382</v>
      </c>
      <c r="F239" s="244" t="s">
        <v>1082</v>
      </c>
      <c r="G239" s="246">
        <v>5</v>
      </c>
      <c r="H239" s="246">
        <v>7.2</v>
      </c>
      <c r="I239" s="246">
        <v>8.99</v>
      </c>
      <c r="J239" s="246">
        <f t="shared" si="10"/>
        <v>44.95</v>
      </c>
      <c r="K239">
        <f t="shared" si="9"/>
        <v>36</v>
      </c>
    </row>
    <row r="240" spans="2:11" ht="33.75" x14ac:dyDescent="0.25">
      <c r="B240" s="244" t="s">
        <v>3435</v>
      </c>
      <c r="C240" s="244" t="s">
        <v>1497</v>
      </c>
      <c r="D240" s="244" t="s">
        <v>2882</v>
      </c>
      <c r="E240" s="245" t="s">
        <v>3436</v>
      </c>
      <c r="F240" s="244" t="s">
        <v>1082</v>
      </c>
      <c r="G240" s="246">
        <v>7</v>
      </c>
      <c r="H240" s="246">
        <v>10.52</v>
      </c>
      <c r="I240" s="246">
        <v>13.14</v>
      </c>
      <c r="J240" s="246">
        <f t="shared" si="10"/>
        <v>91.98</v>
      </c>
      <c r="K240">
        <f t="shared" si="9"/>
        <v>73.64</v>
      </c>
    </row>
    <row r="241" spans="2:11" ht="33.75" x14ac:dyDescent="0.25">
      <c r="B241" s="244" t="s">
        <v>3437</v>
      </c>
      <c r="C241" s="244" t="s">
        <v>1494</v>
      </c>
      <c r="D241" s="244" t="s">
        <v>2882</v>
      </c>
      <c r="E241" s="245" t="s">
        <v>3438</v>
      </c>
      <c r="F241" s="244" t="s">
        <v>1082</v>
      </c>
      <c r="G241" s="246">
        <v>8</v>
      </c>
      <c r="H241" s="246">
        <v>8.4</v>
      </c>
      <c r="I241" s="246">
        <v>10.49</v>
      </c>
      <c r="J241" s="246">
        <f t="shared" si="10"/>
        <v>83.92</v>
      </c>
      <c r="K241">
        <f t="shared" si="9"/>
        <v>67.2</v>
      </c>
    </row>
    <row r="242" spans="2:11" x14ac:dyDescent="0.25">
      <c r="B242" s="244" t="s">
        <v>3439</v>
      </c>
      <c r="C242" s="244" t="s">
        <v>1574</v>
      </c>
      <c r="D242" s="244" t="s">
        <v>504</v>
      </c>
      <c r="E242" s="245" t="s">
        <v>1575</v>
      </c>
      <c r="F242" s="244" t="s">
        <v>1082</v>
      </c>
      <c r="G242" s="246">
        <v>87</v>
      </c>
      <c r="H242" s="246">
        <v>35.75</v>
      </c>
      <c r="I242" s="246">
        <v>44.66</v>
      </c>
      <c r="J242" s="246">
        <f t="shared" si="10"/>
        <v>3885.42</v>
      </c>
      <c r="K242">
        <f t="shared" si="9"/>
        <v>3110.25</v>
      </c>
    </row>
    <row r="243" spans="2:11" x14ac:dyDescent="0.25">
      <c r="B243" s="660" t="s">
        <v>3294</v>
      </c>
      <c r="C243" s="660"/>
      <c r="D243" s="660"/>
      <c r="E243" s="250" t="s">
        <v>3440</v>
      </c>
      <c r="F243" s="660"/>
      <c r="G243" s="260"/>
      <c r="H243" s="260"/>
      <c r="I243" s="260"/>
      <c r="J243" s="260"/>
      <c r="K243">
        <f t="shared" si="9"/>
        <v>0</v>
      </c>
    </row>
    <row r="244" spans="2:11" x14ac:dyDescent="0.25">
      <c r="B244" s="252" t="s">
        <v>3296</v>
      </c>
      <c r="C244" s="252"/>
      <c r="D244" s="252"/>
      <c r="E244" s="253" t="s">
        <v>3297</v>
      </c>
      <c r="F244" s="252"/>
      <c r="G244" s="255"/>
      <c r="H244" s="255"/>
      <c r="I244" s="255"/>
      <c r="J244" s="255"/>
      <c r="K244">
        <f t="shared" si="9"/>
        <v>0</v>
      </c>
    </row>
    <row r="245" spans="2:11" ht="33.75" x14ac:dyDescent="0.25">
      <c r="B245" s="244" t="s">
        <v>3298</v>
      </c>
      <c r="C245" s="244" t="s">
        <v>1512</v>
      </c>
      <c r="D245" s="244" t="s">
        <v>2882</v>
      </c>
      <c r="E245" s="245" t="s">
        <v>3299</v>
      </c>
      <c r="F245" s="244" t="s">
        <v>473</v>
      </c>
      <c r="G245" s="246">
        <v>152.08000000000001</v>
      </c>
      <c r="H245" s="246">
        <v>31.17</v>
      </c>
      <c r="I245" s="246">
        <v>38.94</v>
      </c>
      <c r="J245" s="246">
        <f>ROUND(G245*I245,2)</f>
        <v>5922</v>
      </c>
      <c r="K245">
        <f t="shared" si="9"/>
        <v>4740.3336000000008</v>
      </c>
    </row>
    <row r="246" spans="2:11" ht="33.75" x14ac:dyDescent="0.25">
      <c r="B246" s="244" t="s">
        <v>3300</v>
      </c>
      <c r="C246" s="244" t="s">
        <v>1515</v>
      </c>
      <c r="D246" s="244" t="s">
        <v>2882</v>
      </c>
      <c r="E246" s="245" t="s">
        <v>3301</v>
      </c>
      <c r="F246" s="244" t="s">
        <v>473</v>
      </c>
      <c r="G246" s="246">
        <v>121.85</v>
      </c>
      <c r="H246" s="246">
        <v>46.45</v>
      </c>
      <c r="I246" s="246">
        <v>58.03</v>
      </c>
      <c r="J246" s="246">
        <f>ROUND(G246*I246,2)</f>
        <v>7070.96</v>
      </c>
      <c r="K246">
        <f t="shared" si="9"/>
        <v>5659.9324999999999</v>
      </c>
    </row>
    <row r="247" spans="2:11" ht="33.75" x14ac:dyDescent="0.25">
      <c r="B247" s="244" t="s">
        <v>3302</v>
      </c>
      <c r="C247" s="244" t="s">
        <v>1518</v>
      </c>
      <c r="D247" s="244" t="s">
        <v>2882</v>
      </c>
      <c r="E247" s="245" t="s">
        <v>3303</v>
      </c>
      <c r="F247" s="244" t="s">
        <v>473</v>
      </c>
      <c r="G247" s="246">
        <v>11.72</v>
      </c>
      <c r="H247" s="246">
        <v>21.08</v>
      </c>
      <c r="I247" s="246">
        <v>26.34</v>
      </c>
      <c r="J247" s="246">
        <f>ROUND(G247*I247,2)</f>
        <v>308.7</v>
      </c>
      <c r="K247">
        <f t="shared" si="9"/>
        <v>247.05759999999998</v>
      </c>
    </row>
    <row r="248" spans="2:11" ht="33.75" x14ac:dyDescent="0.25">
      <c r="B248" s="244" t="s">
        <v>3304</v>
      </c>
      <c r="C248" s="244" t="s">
        <v>1521</v>
      </c>
      <c r="D248" s="244" t="s">
        <v>2882</v>
      </c>
      <c r="E248" s="245" t="s">
        <v>3305</v>
      </c>
      <c r="F248" s="244" t="s">
        <v>473</v>
      </c>
      <c r="G248" s="246">
        <v>63.16</v>
      </c>
      <c r="H248" s="246">
        <v>36.130000000000003</v>
      </c>
      <c r="I248" s="246">
        <v>45.14</v>
      </c>
      <c r="J248" s="246">
        <f>ROUND(G248*I248,2)</f>
        <v>2851.04</v>
      </c>
      <c r="K248">
        <f t="shared" si="9"/>
        <v>2281.9708000000001</v>
      </c>
    </row>
    <row r="249" spans="2:11" x14ac:dyDescent="0.25">
      <c r="B249" s="252" t="s">
        <v>3310</v>
      </c>
      <c r="C249" s="252"/>
      <c r="D249" s="252"/>
      <c r="E249" s="253" t="s">
        <v>3326</v>
      </c>
      <c r="F249" s="252"/>
      <c r="G249" s="255"/>
      <c r="H249" s="255"/>
      <c r="I249" s="255"/>
      <c r="J249" s="255"/>
      <c r="K249">
        <f t="shared" si="9"/>
        <v>0</v>
      </c>
    </row>
    <row r="250" spans="2:11" ht="33.75" x14ac:dyDescent="0.25">
      <c r="B250" s="244" t="s">
        <v>3312</v>
      </c>
      <c r="C250" s="244" t="s">
        <v>1473</v>
      </c>
      <c r="D250" s="244" t="s">
        <v>2882</v>
      </c>
      <c r="E250" s="245" t="s">
        <v>3330</v>
      </c>
      <c r="F250" s="244" t="s">
        <v>1082</v>
      </c>
      <c r="G250" s="246">
        <v>120</v>
      </c>
      <c r="H250" s="246">
        <v>4.63</v>
      </c>
      <c r="I250" s="246">
        <v>5.78</v>
      </c>
      <c r="J250" s="246">
        <f>ROUND(G250*I250,2)</f>
        <v>693.6</v>
      </c>
      <c r="K250">
        <f t="shared" si="9"/>
        <v>555.6</v>
      </c>
    </row>
    <row r="251" spans="2:11" ht="33.75" x14ac:dyDescent="0.25">
      <c r="B251" s="244" t="s">
        <v>3318</v>
      </c>
      <c r="C251" s="244" t="s">
        <v>1479</v>
      </c>
      <c r="D251" s="244" t="s">
        <v>2882</v>
      </c>
      <c r="E251" s="245" t="s">
        <v>3334</v>
      </c>
      <c r="F251" s="244" t="s">
        <v>1082</v>
      </c>
      <c r="G251" s="246">
        <v>14</v>
      </c>
      <c r="H251" s="246">
        <v>6.22</v>
      </c>
      <c r="I251" s="246">
        <v>7.77</v>
      </c>
      <c r="J251" s="246">
        <f t="shared" ref="J251:J267" si="11">ROUND(G251*I251,2)</f>
        <v>108.78</v>
      </c>
      <c r="K251">
        <f t="shared" si="9"/>
        <v>87.08</v>
      </c>
    </row>
    <row r="252" spans="2:11" ht="33.75" x14ac:dyDescent="0.25">
      <c r="B252" s="244" t="s">
        <v>3322</v>
      </c>
      <c r="C252" s="244" t="s">
        <v>1491</v>
      </c>
      <c r="D252" s="244" t="s">
        <v>2882</v>
      </c>
      <c r="E252" s="245" t="s">
        <v>3336</v>
      </c>
      <c r="F252" s="244" t="s">
        <v>1082</v>
      </c>
      <c r="G252" s="246">
        <v>37</v>
      </c>
      <c r="H252" s="246">
        <v>12.82</v>
      </c>
      <c r="I252" s="246">
        <v>16.02</v>
      </c>
      <c r="J252" s="246">
        <f t="shared" si="11"/>
        <v>592.74</v>
      </c>
      <c r="K252">
        <f t="shared" si="9"/>
        <v>474.34000000000003</v>
      </c>
    </row>
    <row r="253" spans="2:11" ht="33.75" x14ac:dyDescent="0.25">
      <c r="B253" s="244" t="s">
        <v>3416</v>
      </c>
      <c r="C253" s="244" t="s">
        <v>1470</v>
      </c>
      <c r="D253" s="244" t="s">
        <v>2882</v>
      </c>
      <c r="E253" s="245" t="s">
        <v>3338</v>
      </c>
      <c r="F253" s="244" t="s">
        <v>1082</v>
      </c>
      <c r="G253" s="246">
        <v>143</v>
      </c>
      <c r="H253" s="246">
        <v>4.47</v>
      </c>
      <c r="I253" s="246">
        <v>5.58</v>
      </c>
      <c r="J253" s="246">
        <f t="shared" si="11"/>
        <v>797.94</v>
      </c>
      <c r="K253">
        <f t="shared" si="9"/>
        <v>639.20999999999992</v>
      </c>
    </row>
    <row r="254" spans="2:11" ht="33.75" x14ac:dyDescent="0.25">
      <c r="B254" s="244" t="s">
        <v>3417</v>
      </c>
      <c r="C254" s="244" t="s">
        <v>1476</v>
      </c>
      <c r="D254" s="244" t="s">
        <v>2882</v>
      </c>
      <c r="E254" s="245" t="s">
        <v>3344</v>
      </c>
      <c r="F254" s="244" t="s">
        <v>1082</v>
      </c>
      <c r="G254" s="246">
        <v>8</v>
      </c>
      <c r="H254" s="246">
        <v>5.81</v>
      </c>
      <c r="I254" s="246">
        <v>7.26</v>
      </c>
      <c r="J254" s="246">
        <f t="shared" si="11"/>
        <v>58.08</v>
      </c>
      <c r="K254">
        <f t="shared" si="9"/>
        <v>46.48</v>
      </c>
    </row>
    <row r="255" spans="2:11" ht="33.75" x14ac:dyDescent="0.25">
      <c r="B255" s="244" t="s">
        <v>3418</v>
      </c>
      <c r="C255" s="244" t="s">
        <v>1488</v>
      </c>
      <c r="D255" s="244" t="s">
        <v>2882</v>
      </c>
      <c r="E255" s="245" t="s">
        <v>3346</v>
      </c>
      <c r="F255" s="244" t="s">
        <v>1082</v>
      </c>
      <c r="G255" s="246">
        <v>74</v>
      </c>
      <c r="H255" s="246">
        <v>13.19</v>
      </c>
      <c r="I255" s="246">
        <v>16.48</v>
      </c>
      <c r="J255" s="246">
        <f t="shared" si="11"/>
        <v>1219.52</v>
      </c>
      <c r="K255">
        <f t="shared" si="9"/>
        <v>976.06</v>
      </c>
    </row>
    <row r="256" spans="2:11" ht="33.75" x14ac:dyDescent="0.25">
      <c r="B256" s="244" t="s">
        <v>3419</v>
      </c>
      <c r="C256" s="244" t="s">
        <v>1482</v>
      </c>
      <c r="D256" s="244" t="s">
        <v>2882</v>
      </c>
      <c r="E256" s="245" t="s">
        <v>3348</v>
      </c>
      <c r="F256" s="244" t="s">
        <v>1082</v>
      </c>
      <c r="G256" s="246">
        <v>60</v>
      </c>
      <c r="H256" s="246">
        <v>9.86</v>
      </c>
      <c r="I256" s="246">
        <v>12.32</v>
      </c>
      <c r="J256" s="246">
        <f t="shared" si="11"/>
        <v>739.2</v>
      </c>
      <c r="K256">
        <f t="shared" si="9"/>
        <v>591.59999999999991</v>
      </c>
    </row>
    <row r="257" spans="2:11" x14ac:dyDescent="0.25">
      <c r="B257" s="244" t="s">
        <v>3420</v>
      </c>
      <c r="C257" s="244" t="s">
        <v>1533</v>
      </c>
      <c r="D257" s="244" t="s">
        <v>2956</v>
      </c>
      <c r="E257" s="245" t="s">
        <v>3350</v>
      </c>
      <c r="F257" s="244" t="s">
        <v>1082</v>
      </c>
      <c r="G257" s="246">
        <v>32</v>
      </c>
      <c r="H257" s="246">
        <v>17.95</v>
      </c>
      <c r="I257" s="246">
        <v>22.42</v>
      </c>
      <c r="J257" s="246">
        <f t="shared" si="11"/>
        <v>717.44</v>
      </c>
      <c r="K257">
        <f t="shared" si="9"/>
        <v>574.4</v>
      </c>
    </row>
    <row r="258" spans="2:11" x14ac:dyDescent="0.25">
      <c r="B258" s="244" t="s">
        <v>3421</v>
      </c>
      <c r="C258" s="244" t="s">
        <v>1264</v>
      </c>
      <c r="D258" s="244" t="s">
        <v>2956</v>
      </c>
      <c r="E258" s="245" t="s">
        <v>3262</v>
      </c>
      <c r="F258" s="244" t="s">
        <v>1082</v>
      </c>
      <c r="G258" s="246">
        <v>5</v>
      </c>
      <c r="H258" s="246">
        <v>121.83</v>
      </c>
      <c r="I258" s="246">
        <v>152.19999999999999</v>
      </c>
      <c r="J258" s="246">
        <f t="shared" si="11"/>
        <v>761</v>
      </c>
      <c r="K258">
        <f t="shared" si="9"/>
        <v>609.15</v>
      </c>
    </row>
    <row r="259" spans="2:11" ht="33.75" x14ac:dyDescent="0.25">
      <c r="B259" s="244" t="s">
        <v>3422</v>
      </c>
      <c r="C259" s="244" t="s">
        <v>1506</v>
      </c>
      <c r="D259" s="244" t="s">
        <v>2882</v>
      </c>
      <c r="E259" s="245" t="s">
        <v>3356</v>
      </c>
      <c r="F259" s="244" t="s">
        <v>1082</v>
      </c>
      <c r="G259" s="246">
        <v>7</v>
      </c>
      <c r="H259" s="246">
        <v>24.11</v>
      </c>
      <c r="I259" s="246">
        <v>30.12</v>
      </c>
      <c r="J259" s="246">
        <f t="shared" si="11"/>
        <v>210.84</v>
      </c>
      <c r="K259">
        <f t="shared" si="9"/>
        <v>168.76999999999998</v>
      </c>
    </row>
    <row r="260" spans="2:11" x14ac:dyDescent="0.25">
      <c r="B260" s="244" t="s">
        <v>3423</v>
      </c>
      <c r="C260" s="244" t="s">
        <v>1547</v>
      </c>
      <c r="D260" s="244" t="s">
        <v>2956</v>
      </c>
      <c r="E260" s="245" t="s">
        <v>3360</v>
      </c>
      <c r="F260" s="244" t="s">
        <v>1082</v>
      </c>
      <c r="G260" s="246">
        <v>72</v>
      </c>
      <c r="H260" s="246">
        <v>23.99</v>
      </c>
      <c r="I260" s="246">
        <v>29.97</v>
      </c>
      <c r="J260" s="246">
        <f t="shared" si="11"/>
        <v>2157.84</v>
      </c>
      <c r="K260">
        <f t="shared" si="9"/>
        <v>1727.28</v>
      </c>
    </row>
    <row r="261" spans="2:11" ht="33.75" x14ac:dyDescent="0.25">
      <c r="B261" s="244" t="s">
        <v>3424</v>
      </c>
      <c r="C261" s="244" t="s">
        <v>1500</v>
      </c>
      <c r="D261" s="244" t="s">
        <v>2882</v>
      </c>
      <c r="E261" s="245" t="s">
        <v>3366</v>
      </c>
      <c r="F261" s="244" t="s">
        <v>1082</v>
      </c>
      <c r="G261" s="246">
        <v>5</v>
      </c>
      <c r="H261" s="246">
        <v>10.85</v>
      </c>
      <c r="I261" s="246">
        <v>13.55</v>
      </c>
      <c r="J261" s="246">
        <f t="shared" si="11"/>
        <v>67.75</v>
      </c>
      <c r="K261">
        <f t="shared" si="9"/>
        <v>54.25</v>
      </c>
    </row>
    <row r="262" spans="2:11" x14ac:dyDescent="0.25">
      <c r="B262" s="244" t="s">
        <v>3425</v>
      </c>
      <c r="C262" s="244" t="s">
        <v>1553</v>
      </c>
      <c r="D262" s="244" t="s">
        <v>2956</v>
      </c>
      <c r="E262" s="245" t="s">
        <v>3370</v>
      </c>
      <c r="F262" s="244" t="s">
        <v>1082</v>
      </c>
      <c r="G262" s="246">
        <v>32</v>
      </c>
      <c r="H262" s="246">
        <v>25.33</v>
      </c>
      <c r="I262" s="246">
        <v>31.64</v>
      </c>
      <c r="J262" s="246">
        <f t="shared" si="11"/>
        <v>1012.48</v>
      </c>
      <c r="K262">
        <f t="shared" si="9"/>
        <v>810.56</v>
      </c>
    </row>
    <row r="263" spans="2:11" x14ac:dyDescent="0.25">
      <c r="B263" s="244" t="s">
        <v>3426</v>
      </c>
      <c r="C263" s="244" t="s">
        <v>1562</v>
      </c>
      <c r="D263" s="244" t="s">
        <v>2956</v>
      </c>
      <c r="E263" s="245" t="s">
        <v>3372</v>
      </c>
      <c r="F263" s="244" t="s">
        <v>1082</v>
      </c>
      <c r="G263" s="246">
        <v>32</v>
      </c>
      <c r="H263" s="246">
        <v>22.44</v>
      </c>
      <c r="I263" s="246">
        <v>28.03</v>
      </c>
      <c r="J263" s="246">
        <f t="shared" si="11"/>
        <v>896.96</v>
      </c>
      <c r="K263">
        <f t="shared" si="9"/>
        <v>718.08</v>
      </c>
    </row>
    <row r="264" spans="2:11" ht="22.5" x14ac:dyDescent="0.25">
      <c r="B264" s="244" t="s">
        <v>3427</v>
      </c>
      <c r="C264" s="244" t="s">
        <v>1467</v>
      </c>
      <c r="D264" s="244" t="s">
        <v>2882</v>
      </c>
      <c r="E264" s="245" t="s">
        <v>3378</v>
      </c>
      <c r="F264" s="244" t="s">
        <v>1082</v>
      </c>
      <c r="G264" s="246">
        <v>32</v>
      </c>
      <c r="H264" s="246">
        <v>7.56</v>
      </c>
      <c r="I264" s="246">
        <v>9.44</v>
      </c>
      <c r="J264" s="246">
        <f t="shared" si="11"/>
        <v>302.08</v>
      </c>
      <c r="K264">
        <f t="shared" si="9"/>
        <v>241.92</v>
      </c>
    </row>
    <row r="265" spans="2:11" ht="33.75" x14ac:dyDescent="0.25">
      <c r="B265" s="244" t="s">
        <v>3428</v>
      </c>
      <c r="C265" s="244" t="s">
        <v>1497</v>
      </c>
      <c r="D265" s="244" t="s">
        <v>2882</v>
      </c>
      <c r="E265" s="245" t="s">
        <v>3436</v>
      </c>
      <c r="F265" s="244" t="s">
        <v>1082</v>
      </c>
      <c r="G265" s="246">
        <v>1</v>
      </c>
      <c r="H265" s="246">
        <v>10.52</v>
      </c>
      <c r="I265" s="246">
        <v>13.14</v>
      </c>
      <c r="J265" s="246">
        <f t="shared" si="11"/>
        <v>13.14</v>
      </c>
      <c r="K265">
        <f t="shared" si="9"/>
        <v>10.52</v>
      </c>
    </row>
    <row r="266" spans="2:11" x14ac:dyDescent="0.25">
      <c r="B266" s="244" t="s">
        <v>3429</v>
      </c>
      <c r="C266" s="244" t="s">
        <v>1449</v>
      </c>
      <c r="D266" s="244" t="s">
        <v>2882</v>
      </c>
      <c r="E266" s="245" t="s">
        <v>3441</v>
      </c>
      <c r="F266" s="244" t="s">
        <v>1082</v>
      </c>
      <c r="G266" s="246">
        <v>4</v>
      </c>
      <c r="H266" s="246">
        <v>10.130000000000001</v>
      </c>
      <c r="I266" s="246">
        <v>12.66</v>
      </c>
      <c r="J266" s="246">
        <f t="shared" si="11"/>
        <v>50.64</v>
      </c>
      <c r="K266">
        <f>G266*H266</f>
        <v>40.520000000000003</v>
      </c>
    </row>
    <row r="267" spans="2:11" x14ac:dyDescent="0.25">
      <c r="B267" s="244" t="s">
        <v>3430</v>
      </c>
      <c r="C267" s="244" t="s">
        <v>1574</v>
      </c>
      <c r="D267" s="244" t="s">
        <v>504</v>
      </c>
      <c r="E267" s="245" t="s">
        <v>1575</v>
      </c>
      <c r="F267" s="244" t="s">
        <v>1082</v>
      </c>
      <c r="G267" s="246">
        <v>74</v>
      </c>
      <c r="H267" s="246">
        <v>35.75</v>
      </c>
      <c r="I267" s="246">
        <v>44.66</v>
      </c>
      <c r="J267" s="246">
        <f t="shared" si="11"/>
        <v>3304.84</v>
      </c>
      <c r="K267">
        <f>G267*H267</f>
        <v>2645.5</v>
      </c>
    </row>
    <row r="268" spans="2:11" x14ac:dyDescent="0.25">
      <c r="G268" s="269"/>
      <c r="I268" s="49">
        <f>I267/1.2493</f>
        <v>35.74801889057872</v>
      </c>
      <c r="J268" s="158">
        <f>SUM(J7:J267)</f>
        <v>300367.60960000003</v>
      </c>
      <c r="K268" s="158">
        <f>SUM(K7:K267)</f>
        <v>240428.59230000002</v>
      </c>
    </row>
    <row r="269" spans="2:11" x14ac:dyDescent="0.25">
      <c r="G269" s="269"/>
    </row>
    <row r="270" spans="2:11" x14ac:dyDescent="0.25">
      <c r="G270" s="269"/>
    </row>
    <row r="271" spans="2:11" x14ac:dyDescent="0.25">
      <c r="D271" s="982" t="s">
        <v>3287</v>
      </c>
      <c r="E271" s="983"/>
      <c r="F271" s="983"/>
      <c r="G271" s="983"/>
      <c r="H271" s="983"/>
      <c r="I271" s="983"/>
    </row>
    <row r="272" spans="2:11" x14ac:dyDescent="0.25">
      <c r="D272" s="659" t="s">
        <v>304</v>
      </c>
      <c r="E272" s="659" t="s">
        <v>3288</v>
      </c>
      <c r="F272" s="659" t="s">
        <v>306</v>
      </c>
      <c r="G272" s="658" t="s">
        <v>6</v>
      </c>
      <c r="H272" s="658" t="s">
        <v>3289</v>
      </c>
      <c r="I272" s="658" t="s">
        <v>3289</v>
      </c>
    </row>
    <row r="273" spans="4:11" x14ac:dyDescent="0.25">
      <c r="D273" s="245" t="s">
        <v>1446</v>
      </c>
      <c r="E273" s="245" t="s">
        <v>3315</v>
      </c>
      <c r="F273" s="245" t="str">
        <f>VLOOKUP(D273,$C$9:$I$267,4,FALSE)</f>
        <v>UN</v>
      </c>
      <c r="G273" s="278">
        <f>SUMIF($C$9:$C$267,D273,$G$9:$G$267)</f>
        <v>53</v>
      </c>
      <c r="I273" s="278">
        <f>VLOOKUP(D273,$C$9:$I$267,6,FALSE)</f>
        <v>277.81</v>
      </c>
      <c r="J273" s="157">
        <f>G273*I273</f>
        <v>14723.93</v>
      </c>
      <c r="K273" t="str">
        <f>VLOOKUP(D273,$C$9:$I$267,2,FALSE)</f>
        <v>SINAPI</v>
      </c>
    </row>
    <row r="274" spans="4:11" x14ac:dyDescent="0.25">
      <c r="D274" s="245" t="s">
        <v>1449</v>
      </c>
      <c r="E274" s="245" t="s">
        <v>3441</v>
      </c>
      <c r="F274" s="245" t="str">
        <f t="shared" ref="F274:F318" si="12">VLOOKUP(D274,$C$9:$I$267,4,FALSE)</f>
        <v>UN</v>
      </c>
      <c r="G274" s="278">
        <f t="shared" ref="G274:G318" si="13">SUMIF($C$9:$C$267,D274,$G$9:$G$267)</f>
        <v>4</v>
      </c>
      <c r="I274" s="278">
        <f t="shared" ref="I274:I318" si="14">VLOOKUP(D274,$C$9:$I$267,6,FALSE)</f>
        <v>10.130000000000001</v>
      </c>
      <c r="J274" s="157">
        <f t="shared" ref="J274:J318" si="15">G274*I274</f>
        <v>40.520000000000003</v>
      </c>
      <c r="K274" t="str">
        <f t="shared" ref="K274:K318" si="16">VLOOKUP(D274,$C$9:$I$267,2,FALSE)</f>
        <v>SINAPI</v>
      </c>
    </row>
    <row r="275" spans="4:11" ht="22.5" x14ac:dyDescent="0.25">
      <c r="D275" s="245" t="s">
        <v>1452</v>
      </c>
      <c r="E275" s="245" t="s">
        <v>3328</v>
      </c>
      <c r="F275" s="245" t="str">
        <f t="shared" si="12"/>
        <v>UN</v>
      </c>
      <c r="G275" s="278">
        <f t="shared" si="13"/>
        <v>2</v>
      </c>
      <c r="I275" s="278">
        <f t="shared" si="14"/>
        <v>4.74</v>
      </c>
      <c r="J275" s="157">
        <f t="shared" si="15"/>
        <v>9.48</v>
      </c>
      <c r="K275" t="str">
        <f t="shared" si="16"/>
        <v>SINAPI</v>
      </c>
    </row>
    <row r="276" spans="4:11" ht="22.5" x14ac:dyDescent="0.25">
      <c r="D276" s="245" t="s">
        <v>1455</v>
      </c>
      <c r="E276" s="245" t="s">
        <v>3380</v>
      </c>
      <c r="F276" s="245" t="str">
        <f t="shared" si="12"/>
        <v>UN</v>
      </c>
      <c r="G276" s="278">
        <f t="shared" si="13"/>
        <v>1</v>
      </c>
      <c r="I276" s="278">
        <f t="shared" si="14"/>
        <v>14.05</v>
      </c>
      <c r="J276" s="157">
        <f t="shared" si="15"/>
        <v>14.05</v>
      </c>
      <c r="K276" t="str">
        <f t="shared" si="16"/>
        <v>SINAPI</v>
      </c>
    </row>
    <row r="277" spans="4:11" ht="22.5" x14ac:dyDescent="0.25">
      <c r="D277" s="245" t="s">
        <v>1458</v>
      </c>
      <c r="E277" s="245" t="s">
        <v>3358</v>
      </c>
      <c r="F277" s="245" t="str">
        <f t="shared" si="12"/>
        <v>UN</v>
      </c>
      <c r="G277" s="278">
        <f t="shared" si="13"/>
        <v>4</v>
      </c>
      <c r="I277" s="278">
        <f t="shared" si="14"/>
        <v>39.659999999999997</v>
      </c>
      <c r="J277" s="157">
        <f t="shared" si="15"/>
        <v>158.63999999999999</v>
      </c>
      <c r="K277" t="str">
        <f t="shared" si="16"/>
        <v>SINAPI</v>
      </c>
    </row>
    <row r="278" spans="4:11" ht="22.5" x14ac:dyDescent="0.25">
      <c r="D278" s="245" t="s">
        <v>1461</v>
      </c>
      <c r="E278" s="245" t="s">
        <v>3342</v>
      </c>
      <c r="F278" s="245" t="str">
        <f t="shared" si="12"/>
        <v>UN</v>
      </c>
      <c r="G278" s="278">
        <f t="shared" si="13"/>
        <v>6</v>
      </c>
      <c r="I278" s="278">
        <f t="shared" si="14"/>
        <v>4.4800000000000004</v>
      </c>
      <c r="J278" s="157">
        <f t="shared" si="15"/>
        <v>26.880000000000003</v>
      </c>
      <c r="K278" t="str">
        <f t="shared" si="16"/>
        <v>SINAPI</v>
      </c>
    </row>
    <row r="279" spans="4:11" ht="22.5" x14ac:dyDescent="0.25">
      <c r="D279" s="245" t="s">
        <v>1464</v>
      </c>
      <c r="E279" s="245" t="s">
        <v>3382</v>
      </c>
      <c r="F279" s="245" t="str">
        <f t="shared" si="12"/>
        <v>UN</v>
      </c>
      <c r="G279" s="278">
        <f t="shared" si="13"/>
        <v>38</v>
      </c>
      <c r="I279" s="278">
        <f t="shared" si="14"/>
        <v>7.2</v>
      </c>
      <c r="J279" s="157">
        <f t="shared" si="15"/>
        <v>273.60000000000002</v>
      </c>
      <c r="K279" t="str">
        <f t="shared" si="16"/>
        <v>SINAPI</v>
      </c>
    </row>
    <row r="280" spans="4:11" ht="22.5" x14ac:dyDescent="0.25">
      <c r="D280" s="245" t="s">
        <v>1467</v>
      </c>
      <c r="E280" s="245" t="s">
        <v>3378</v>
      </c>
      <c r="F280" s="245" t="str">
        <f t="shared" si="12"/>
        <v>UN</v>
      </c>
      <c r="G280" s="278">
        <f t="shared" si="13"/>
        <v>120</v>
      </c>
      <c r="I280" s="278">
        <f t="shared" si="14"/>
        <v>7.56</v>
      </c>
      <c r="J280" s="157">
        <f t="shared" si="15"/>
        <v>907.19999999999993</v>
      </c>
      <c r="K280" t="str">
        <f t="shared" si="16"/>
        <v>SINAPI</v>
      </c>
    </row>
    <row r="281" spans="4:11" ht="33.75" x14ac:dyDescent="0.25">
      <c r="D281" s="245" t="s">
        <v>1470</v>
      </c>
      <c r="E281" s="245" t="s">
        <v>3338</v>
      </c>
      <c r="F281" s="245" t="str">
        <f t="shared" si="12"/>
        <v>UN</v>
      </c>
      <c r="G281" s="278">
        <f t="shared" si="13"/>
        <v>684</v>
      </c>
      <c r="I281" s="278">
        <f t="shared" si="14"/>
        <v>4.47</v>
      </c>
      <c r="J281" s="157">
        <f t="shared" si="15"/>
        <v>3057.48</v>
      </c>
      <c r="K281" t="str">
        <f t="shared" si="16"/>
        <v>SINAPI</v>
      </c>
    </row>
    <row r="282" spans="4:11" ht="33.75" x14ac:dyDescent="0.25">
      <c r="D282" s="245" t="s">
        <v>1473</v>
      </c>
      <c r="E282" s="245" t="s">
        <v>3330</v>
      </c>
      <c r="F282" s="245" t="str">
        <f t="shared" si="12"/>
        <v>UN</v>
      </c>
      <c r="G282" s="278">
        <f t="shared" si="13"/>
        <v>480</v>
      </c>
      <c r="I282" s="278">
        <f t="shared" si="14"/>
        <v>4.63</v>
      </c>
      <c r="J282" s="157">
        <f t="shared" si="15"/>
        <v>2222.4</v>
      </c>
      <c r="K282" t="str">
        <f t="shared" si="16"/>
        <v>SINAPI</v>
      </c>
    </row>
    <row r="283" spans="4:11" ht="33.75" x14ac:dyDescent="0.25">
      <c r="D283" s="245" t="s">
        <v>1476</v>
      </c>
      <c r="E283" s="245" t="s">
        <v>3344</v>
      </c>
      <c r="F283" s="245" t="str">
        <f t="shared" si="12"/>
        <v>UN</v>
      </c>
      <c r="G283" s="278">
        <f t="shared" si="13"/>
        <v>199</v>
      </c>
      <c r="I283" s="278">
        <f t="shared" si="14"/>
        <v>5.81</v>
      </c>
      <c r="J283" s="157">
        <f t="shared" si="15"/>
        <v>1156.1899999999998</v>
      </c>
      <c r="K283" t="str">
        <f t="shared" si="16"/>
        <v>SINAPI</v>
      </c>
    </row>
    <row r="284" spans="4:11" ht="33.75" x14ac:dyDescent="0.25">
      <c r="D284" s="245" t="s">
        <v>1479</v>
      </c>
      <c r="E284" s="245" t="s">
        <v>3334</v>
      </c>
      <c r="F284" s="245" t="str">
        <f t="shared" si="12"/>
        <v>UN</v>
      </c>
      <c r="G284" s="278">
        <f t="shared" si="13"/>
        <v>33</v>
      </c>
      <c r="I284" s="278">
        <f t="shared" si="14"/>
        <v>6.22</v>
      </c>
      <c r="J284" s="157">
        <f t="shared" si="15"/>
        <v>205.26</v>
      </c>
      <c r="K284" t="str">
        <f t="shared" si="16"/>
        <v>SINAPI</v>
      </c>
    </row>
    <row r="285" spans="4:11" ht="33.75" x14ac:dyDescent="0.25">
      <c r="D285" s="245" t="s">
        <v>1482</v>
      </c>
      <c r="E285" s="245" t="s">
        <v>3348</v>
      </c>
      <c r="F285" s="245" t="str">
        <f t="shared" si="12"/>
        <v>UN</v>
      </c>
      <c r="G285" s="278">
        <f t="shared" si="13"/>
        <v>227</v>
      </c>
      <c r="I285" s="278">
        <f t="shared" si="14"/>
        <v>9.86</v>
      </c>
      <c r="J285" s="157">
        <f t="shared" si="15"/>
        <v>2238.2199999999998</v>
      </c>
      <c r="K285" t="str">
        <f t="shared" si="16"/>
        <v>SINAPI</v>
      </c>
    </row>
    <row r="286" spans="4:11" ht="33.75" x14ac:dyDescent="0.25">
      <c r="D286" s="245" t="s">
        <v>1485</v>
      </c>
      <c r="E286" s="245" t="s">
        <v>3332</v>
      </c>
      <c r="F286" s="245" t="str">
        <f t="shared" si="12"/>
        <v>UN</v>
      </c>
      <c r="G286" s="278">
        <f t="shared" si="13"/>
        <v>2</v>
      </c>
      <c r="I286" s="278">
        <f t="shared" si="14"/>
        <v>10.4</v>
      </c>
      <c r="J286" s="157">
        <f t="shared" si="15"/>
        <v>20.8</v>
      </c>
      <c r="K286" t="str">
        <f t="shared" si="16"/>
        <v>SINAPI</v>
      </c>
    </row>
    <row r="287" spans="4:11" ht="33.75" x14ac:dyDescent="0.25">
      <c r="D287" s="245" t="s">
        <v>1488</v>
      </c>
      <c r="E287" s="245" t="s">
        <v>3346</v>
      </c>
      <c r="F287" s="245" t="str">
        <f t="shared" si="12"/>
        <v>UN</v>
      </c>
      <c r="G287" s="278">
        <f t="shared" si="13"/>
        <v>274</v>
      </c>
      <c r="I287" s="278">
        <f t="shared" si="14"/>
        <v>13.19</v>
      </c>
      <c r="J287" s="157">
        <f t="shared" si="15"/>
        <v>3614.06</v>
      </c>
      <c r="K287" t="str">
        <f t="shared" si="16"/>
        <v>SINAPI</v>
      </c>
    </row>
    <row r="288" spans="4:11" ht="33.75" x14ac:dyDescent="0.25">
      <c r="D288" s="245" t="s">
        <v>1491</v>
      </c>
      <c r="E288" s="245" t="s">
        <v>3336</v>
      </c>
      <c r="F288" s="245" t="str">
        <f t="shared" si="12"/>
        <v>UN</v>
      </c>
      <c r="G288" s="278">
        <f t="shared" si="13"/>
        <v>76</v>
      </c>
      <c r="I288" s="278">
        <f t="shared" si="14"/>
        <v>12.82</v>
      </c>
      <c r="J288" s="157">
        <f t="shared" si="15"/>
        <v>974.32</v>
      </c>
      <c r="K288" t="str">
        <f t="shared" si="16"/>
        <v>SINAPI</v>
      </c>
    </row>
    <row r="289" spans="4:11" ht="33.75" x14ac:dyDescent="0.25">
      <c r="D289" s="245" t="s">
        <v>1494</v>
      </c>
      <c r="E289" s="245" t="s">
        <v>3438</v>
      </c>
      <c r="F289" s="245" t="str">
        <f t="shared" si="12"/>
        <v>UN</v>
      </c>
      <c r="G289" s="278">
        <f t="shared" si="13"/>
        <v>8</v>
      </c>
      <c r="I289" s="278">
        <f t="shared" si="14"/>
        <v>8.4</v>
      </c>
      <c r="J289" s="157">
        <f t="shared" si="15"/>
        <v>67.2</v>
      </c>
      <c r="K289" t="str">
        <f t="shared" si="16"/>
        <v>SINAPI</v>
      </c>
    </row>
    <row r="290" spans="4:11" ht="33.75" x14ac:dyDescent="0.25">
      <c r="D290" s="245" t="s">
        <v>1497</v>
      </c>
      <c r="E290" s="245" t="s">
        <v>3436</v>
      </c>
      <c r="F290" s="245" t="str">
        <f t="shared" si="12"/>
        <v>UN</v>
      </c>
      <c r="G290" s="278">
        <f t="shared" si="13"/>
        <v>8</v>
      </c>
      <c r="I290" s="278">
        <f t="shared" si="14"/>
        <v>10.52</v>
      </c>
      <c r="J290" s="157">
        <f t="shared" si="15"/>
        <v>84.16</v>
      </c>
      <c r="K290" t="str">
        <f t="shared" si="16"/>
        <v>SINAPI</v>
      </c>
    </row>
    <row r="291" spans="4:11" ht="33.75" x14ac:dyDescent="0.25">
      <c r="D291" s="245" t="s">
        <v>1500</v>
      </c>
      <c r="E291" s="245" t="s">
        <v>3366</v>
      </c>
      <c r="F291" s="245" t="str">
        <f t="shared" si="12"/>
        <v>UN</v>
      </c>
      <c r="G291" s="278">
        <f t="shared" si="13"/>
        <v>31</v>
      </c>
      <c r="I291" s="278">
        <f t="shared" si="14"/>
        <v>10.85</v>
      </c>
      <c r="J291" s="157">
        <f t="shared" si="15"/>
        <v>336.34999999999997</v>
      </c>
      <c r="K291" t="str">
        <f t="shared" si="16"/>
        <v>SINAPI</v>
      </c>
    </row>
    <row r="292" spans="4:11" ht="33.75" x14ac:dyDescent="0.25">
      <c r="D292" s="245" t="s">
        <v>1503</v>
      </c>
      <c r="E292" s="245" t="s">
        <v>3362</v>
      </c>
      <c r="F292" s="245" t="str">
        <f t="shared" si="12"/>
        <v>UN</v>
      </c>
      <c r="G292" s="278">
        <f t="shared" si="13"/>
        <v>1</v>
      </c>
      <c r="I292" s="278">
        <f t="shared" si="14"/>
        <v>18.21</v>
      </c>
      <c r="J292" s="157">
        <f t="shared" si="15"/>
        <v>18.21</v>
      </c>
      <c r="K292" t="str">
        <f t="shared" si="16"/>
        <v>SINAPI</v>
      </c>
    </row>
    <row r="293" spans="4:11" ht="33.75" x14ac:dyDescent="0.25">
      <c r="D293" s="245" t="s">
        <v>1506</v>
      </c>
      <c r="E293" s="245" t="s">
        <v>3356</v>
      </c>
      <c r="F293" s="245" t="str">
        <f t="shared" si="12"/>
        <v>UN</v>
      </c>
      <c r="G293" s="278">
        <f t="shared" si="13"/>
        <v>90</v>
      </c>
      <c r="I293" s="278">
        <f t="shared" si="14"/>
        <v>24.11</v>
      </c>
      <c r="J293" s="157">
        <f t="shared" si="15"/>
        <v>2169.9</v>
      </c>
      <c r="K293" t="str">
        <f t="shared" si="16"/>
        <v>SINAPI</v>
      </c>
    </row>
    <row r="294" spans="4:11" ht="22.5" x14ac:dyDescent="0.25">
      <c r="D294" s="245" t="s">
        <v>1509</v>
      </c>
      <c r="E294" s="245" t="s">
        <v>3407</v>
      </c>
      <c r="F294" s="245" t="str">
        <f t="shared" si="12"/>
        <v>UN</v>
      </c>
      <c r="G294" s="278">
        <f t="shared" si="13"/>
        <v>1</v>
      </c>
      <c r="I294" s="278">
        <f t="shared" si="14"/>
        <v>59.79</v>
      </c>
      <c r="J294" s="157">
        <f t="shared" si="15"/>
        <v>59.79</v>
      </c>
      <c r="K294" t="str">
        <f t="shared" si="16"/>
        <v>SINAPI</v>
      </c>
    </row>
    <row r="295" spans="4:11" ht="33.75" x14ac:dyDescent="0.25">
      <c r="D295" s="245" t="s">
        <v>1512</v>
      </c>
      <c r="E295" s="245" t="s">
        <v>3299</v>
      </c>
      <c r="F295" s="245" t="str">
        <f t="shared" si="12"/>
        <v>M</v>
      </c>
      <c r="G295" s="278">
        <f t="shared" si="13"/>
        <v>700.12</v>
      </c>
      <c r="I295" s="278">
        <f t="shared" si="14"/>
        <v>31.17</v>
      </c>
      <c r="J295" s="157">
        <f t="shared" si="15"/>
        <v>21822.740400000002</v>
      </c>
      <c r="K295" t="str">
        <f t="shared" si="16"/>
        <v>SINAPI</v>
      </c>
    </row>
    <row r="296" spans="4:11" ht="33.75" x14ac:dyDescent="0.25">
      <c r="D296" s="245" t="s">
        <v>1515</v>
      </c>
      <c r="E296" s="245" t="s">
        <v>3301</v>
      </c>
      <c r="F296" s="245" t="str">
        <f t="shared" si="12"/>
        <v>M</v>
      </c>
      <c r="G296" s="278">
        <f t="shared" si="13"/>
        <v>1078.0239999999999</v>
      </c>
      <c r="I296" s="278">
        <f t="shared" si="14"/>
        <v>46.45</v>
      </c>
      <c r="J296" s="157">
        <f t="shared" si="15"/>
        <v>50074.214799999994</v>
      </c>
      <c r="K296" t="str">
        <f t="shared" si="16"/>
        <v>SINAPI</v>
      </c>
    </row>
    <row r="297" spans="4:11" ht="33.75" x14ac:dyDescent="0.25">
      <c r="D297" s="245" t="s">
        <v>1518</v>
      </c>
      <c r="E297" s="245" t="s">
        <v>3303</v>
      </c>
      <c r="F297" s="245" t="str">
        <f t="shared" si="12"/>
        <v>M</v>
      </c>
      <c r="G297" s="278">
        <f t="shared" si="13"/>
        <v>849.45</v>
      </c>
      <c r="I297" s="278">
        <f t="shared" si="14"/>
        <v>21.08</v>
      </c>
      <c r="J297" s="157">
        <f t="shared" si="15"/>
        <v>17906.405999999999</v>
      </c>
      <c r="K297" t="str">
        <f t="shared" si="16"/>
        <v>SINAPI</v>
      </c>
    </row>
    <row r="298" spans="4:11" ht="33.75" x14ac:dyDescent="0.25">
      <c r="D298" s="245" t="s">
        <v>1521</v>
      </c>
      <c r="E298" s="245" t="s">
        <v>3305</v>
      </c>
      <c r="F298" s="245" t="str">
        <f t="shared" si="12"/>
        <v>M</v>
      </c>
      <c r="G298" s="278">
        <f t="shared" si="13"/>
        <v>1499.7099999999998</v>
      </c>
      <c r="I298" s="278">
        <f t="shared" si="14"/>
        <v>36.130000000000003</v>
      </c>
      <c r="J298" s="157">
        <f t="shared" si="15"/>
        <v>54184.522299999997</v>
      </c>
      <c r="K298" t="str">
        <f t="shared" si="16"/>
        <v>SINAPI</v>
      </c>
    </row>
    <row r="299" spans="4:11" ht="33.75" x14ac:dyDescent="0.25">
      <c r="D299" s="245" t="s">
        <v>1524</v>
      </c>
      <c r="E299" s="245" t="s">
        <v>3307</v>
      </c>
      <c r="F299" s="245" t="str">
        <f t="shared" si="12"/>
        <v>M</v>
      </c>
      <c r="G299" s="278">
        <f t="shared" si="13"/>
        <v>391.25</v>
      </c>
      <c r="I299" s="278">
        <f t="shared" si="14"/>
        <v>11.96</v>
      </c>
      <c r="J299" s="157">
        <f t="shared" si="15"/>
        <v>4679.3500000000004</v>
      </c>
      <c r="K299" t="str">
        <f t="shared" si="16"/>
        <v>SINAPI</v>
      </c>
    </row>
    <row r="300" spans="4:11" x14ac:dyDescent="0.25">
      <c r="D300" s="245" t="s">
        <v>1527</v>
      </c>
      <c r="E300" s="245" t="s">
        <v>3321</v>
      </c>
      <c r="F300" s="245" t="str">
        <f t="shared" si="12"/>
        <v>UN</v>
      </c>
      <c r="G300" s="278">
        <f t="shared" si="13"/>
        <v>38</v>
      </c>
      <c r="I300" s="278">
        <f t="shared" si="14"/>
        <v>181.41</v>
      </c>
      <c r="J300" s="157">
        <f t="shared" si="15"/>
        <v>6893.58</v>
      </c>
      <c r="K300" t="str">
        <f t="shared" si="16"/>
        <v>SEINFRA</v>
      </c>
    </row>
    <row r="301" spans="4:11" x14ac:dyDescent="0.25">
      <c r="D301" s="245" t="s">
        <v>1530</v>
      </c>
      <c r="E301" s="245" t="s">
        <v>3317</v>
      </c>
      <c r="F301" s="245" t="str">
        <f t="shared" si="12"/>
        <v>m²</v>
      </c>
      <c r="G301" s="278">
        <f t="shared" si="13"/>
        <v>55.620000000000005</v>
      </c>
      <c r="I301" s="278">
        <f t="shared" si="14"/>
        <v>140.58000000000001</v>
      </c>
      <c r="J301" s="157">
        <f t="shared" si="15"/>
        <v>7819.0596000000014</v>
      </c>
      <c r="K301" t="str">
        <f t="shared" si="16"/>
        <v>SEINFRA</v>
      </c>
    </row>
    <row r="302" spans="4:11" x14ac:dyDescent="0.25">
      <c r="D302" s="245" t="s">
        <v>1533</v>
      </c>
      <c r="E302" s="245" t="s">
        <v>3350</v>
      </c>
      <c r="F302" s="245" t="str">
        <f t="shared" si="12"/>
        <v>UN</v>
      </c>
      <c r="G302" s="278">
        <f t="shared" si="13"/>
        <v>121</v>
      </c>
      <c r="I302" s="278">
        <f t="shared" si="14"/>
        <v>17.95</v>
      </c>
      <c r="J302" s="157">
        <f t="shared" si="15"/>
        <v>2171.9499999999998</v>
      </c>
      <c r="K302" t="str">
        <f t="shared" si="16"/>
        <v>SEINFRA</v>
      </c>
    </row>
    <row r="303" spans="4:11" x14ac:dyDescent="0.25">
      <c r="D303" s="245" t="s">
        <v>1536</v>
      </c>
      <c r="E303" s="245" t="s">
        <v>3340</v>
      </c>
      <c r="F303" s="245" t="str">
        <f t="shared" si="12"/>
        <v>UN</v>
      </c>
      <c r="G303" s="278">
        <f t="shared" si="13"/>
        <v>6</v>
      </c>
      <c r="I303" s="278">
        <f t="shared" si="14"/>
        <v>16.63</v>
      </c>
      <c r="J303" s="157">
        <f t="shared" si="15"/>
        <v>99.78</v>
      </c>
      <c r="K303" t="str">
        <f t="shared" si="16"/>
        <v>SEINFRA</v>
      </c>
    </row>
    <row r="304" spans="4:11" x14ac:dyDescent="0.25">
      <c r="D304" s="245" t="s">
        <v>1539</v>
      </c>
      <c r="E304" s="245" t="s">
        <v>3352</v>
      </c>
      <c r="F304" s="245" t="str">
        <f t="shared" si="12"/>
        <v>UN</v>
      </c>
      <c r="G304" s="278">
        <f t="shared" si="13"/>
        <v>9</v>
      </c>
      <c r="I304" s="278">
        <f t="shared" si="14"/>
        <v>56.33</v>
      </c>
      <c r="J304" s="157">
        <f t="shared" si="15"/>
        <v>506.96999999999997</v>
      </c>
      <c r="K304" t="str">
        <f t="shared" si="16"/>
        <v>SEINFRA</v>
      </c>
    </row>
    <row r="305" spans="4:11" x14ac:dyDescent="0.25">
      <c r="D305" s="245" t="s">
        <v>1264</v>
      </c>
      <c r="E305" s="245" t="s">
        <v>3354</v>
      </c>
      <c r="F305" s="245" t="str">
        <f t="shared" si="12"/>
        <v>UN</v>
      </c>
      <c r="G305" s="278">
        <f t="shared" si="13"/>
        <v>87</v>
      </c>
      <c r="I305" s="278">
        <f t="shared" si="14"/>
        <v>121.83</v>
      </c>
      <c r="J305" s="157">
        <f t="shared" si="15"/>
        <v>10599.21</v>
      </c>
      <c r="K305" t="str">
        <f t="shared" si="16"/>
        <v>SEINFRA</v>
      </c>
    </row>
    <row r="306" spans="4:11" x14ac:dyDescent="0.25">
      <c r="D306" s="245" t="s">
        <v>1544</v>
      </c>
      <c r="E306" s="245" t="s">
        <v>3364</v>
      </c>
      <c r="F306" s="245" t="str">
        <f t="shared" si="12"/>
        <v>UN</v>
      </c>
      <c r="G306" s="278">
        <f t="shared" si="13"/>
        <v>22</v>
      </c>
      <c r="I306" s="278">
        <f t="shared" si="14"/>
        <v>22.49</v>
      </c>
      <c r="J306" s="157">
        <f t="shared" si="15"/>
        <v>494.78</v>
      </c>
      <c r="K306" t="str">
        <f t="shared" si="16"/>
        <v>SEINFRA</v>
      </c>
    </row>
    <row r="307" spans="4:11" x14ac:dyDescent="0.25">
      <c r="D307" s="245" t="s">
        <v>1547</v>
      </c>
      <c r="E307" s="245" t="s">
        <v>3360</v>
      </c>
      <c r="F307" s="245" t="str">
        <f t="shared" si="12"/>
        <v>UN</v>
      </c>
      <c r="G307" s="278">
        <f t="shared" si="13"/>
        <v>244</v>
      </c>
      <c r="I307" s="278">
        <f t="shared" si="14"/>
        <v>23.99</v>
      </c>
      <c r="J307" s="157">
        <f t="shared" si="15"/>
        <v>5853.5599999999995</v>
      </c>
      <c r="K307" t="str">
        <f t="shared" si="16"/>
        <v>SEINFRA</v>
      </c>
    </row>
    <row r="308" spans="4:11" x14ac:dyDescent="0.25">
      <c r="D308" s="245" t="s">
        <v>1550</v>
      </c>
      <c r="E308" s="245" t="s">
        <v>3368</v>
      </c>
      <c r="F308" s="245" t="str">
        <f t="shared" si="12"/>
        <v>UN</v>
      </c>
      <c r="G308" s="278">
        <f t="shared" si="13"/>
        <v>15</v>
      </c>
      <c r="I308" s="278">
        <f t="shared" si="14"/>
        <v>24.3</v>
      </c>
      <c r="J308" s="157">
        <f t="shared" si="15"/>
        <v>364.5</v>
      </c>
      <c r="K308" t="str">
        <f t="shared" si="16"/>
        <v>SEINFRA</v>
      </c>
    </row>
    <row r="309" spans="4:11" x14ac:dyDescent="0.25">
      <c r="D309" s="245" t="s">
        <v>1553</v>
      </c>
      <c r="E309" s="245" t="s">
        <v>3370</v>
      </c>
      <c r="F309" s="245" t="str">
        <f t="shared" si="12"/>
        <v>UN</v>
      </c>
      <c r="G309" s="278">
        <f t="shared" si="13"/>
        <v>97</v>
      </c>
      <c r="I309" s="278">
        <f t="shared" si="14"/>
        <v>25.33</v>
      </c>
      <c r="J309" s="157">
        <f t="shared" si="15"/>
        <v>2457.0099999999998</v>
      </c>
      <c r="K309" t="str">
        <f t="shared" si="16"/>
        <v>SEINFRA</v>
      </c>
    </row>
    <row r="310" spans="4:11" x14ac:dyDescent="0.25">
      <c r="D310" s="245" t="s">
        <v>1556</v>
      </c>
      <c r="E310" s="245" t="s">
        <v>3376</v>
      </c>
      <c r="F310" s="245" t="str">
        <f t="shared" si="12"/>
        <v>UN</v>
      </c>
      <c r="G310" s="278">
        <f t="shared" si="13"/>
        <v>60</v>
      </c>
      <c r="I310" s="278">
        <f t="shared" si="14"/>
        <v>14.7</v>
      </c>
      <c r="J310" s="157">
        <f t="shared" si="15"/>
        <v>882</v>
      </c>
      <c r="K310" t="str">
        <f t="shared" si="16"/>
        <v>SEINFRA</v>
      </c>
    </row>
    <row r="311" spans="4:11" x14ac:dyDescent="0.25">
      <c r="D311" s="245" t="s">
        <v>1559</v>
      </c>
      <c r="E311" s="245" t="s">
        <v>3374</v>
      </c>
      <c r="F311" s="245" t="str">
        <f t="shared" si="12"/>
        <v>UN</v>
      </c>
      <c r="G311" s="278">
        <f t="shared" si="13"/>
        <v>8</v>
      </c>
      <c r="I311" s="278">
        <f t="shared" si="14"/>
        <v>20.75</v>
      </c>
      <c r="J311" s="157">
        <f t="shared" si="15"/>
        <v>166</v>
      </c>
      <c r="K311" t="str">
        <f t="shared" si="16"/>
        <v>SEINFRA</v>
      </c>
    </row>
    <row r="312" spans="4:11" x14ac:dyDescent="0.25">
      <c r="D312" s="245" t="s">
        <v>1562</v>
      </c>
      <c r="E312" s="245" t="s">
        <v>3372</v>
      </c>
      <c r="F312" s="245" t="str">
        <f t="shared" si="12"/>
        <v>UN</v>
      </c>
      <c r="G312" s="278">
        <f t="shared" si="13"/>
        <v>94</v>
      </c>
      <c r="I312" s="278">
        <f t="shared" si="14"/>
        <v>22.44</v>
      </c>
      <c r="J312" s="157">
        <f t="shared" si="15"/>
        <v>2109.36</v>
      </c>
      <c r="K312" t="str">
        <f t="shared" si="16"/>
        <v>SEINFRA</v>
      </c>
    </row>
    <row r="313" spans="4:11" x14ac:dyDescent="0.25">
      <c r="D313" s="245" t="s">
        <v>1565</v>
      </c>
      <c r="E313" s="245" t="s">
        <v>3398</v>
      </c>
      <c r="F313" s="245" t="str">
        <f t="shared" si="12"/>
        <v>UN</v>
      </c>
      <c r="G313" s="278">
        <f t="shared" si="13"/>
        <v>8</v>
      </c>
      <c r="I313" s="278">
        <f t="shared" si="14"/>
        <v>11.51</v>
      </c>
      <c r="J313" s="157">
        <f t="shared" si="15"/>
        <v>92.08</v>
      </c>
      <c r="K313" t="str">
        <f t="shared" si="16"/>
        <v>SEINFRA</v>
      </c>
    </row>
    <row r="314" spans="4:11" x14ac:dyDescent="0.25">
      <c r="D314" s="245" t="s">
        <v>1568</v>
      </c>
      <c r="E314" s="245" t="s">
        <v>3309</v>
      </c>
      <c r="F314" s="245" t="str">
        <f t="shared" si="12"/>
        <v>M</v>
      </c>
      <c r="G314" s="278">
        <f t="shared" si="13"/>
        <v>27.28</v>
      </c>
      <c r="I314" s="278">
        <f t="shared" si="14"/>
        <v>23.39</v>
      </c>
      <c r="J314" s="157">
        <f t="shared" si="15"/>
        <v>638.07920000000001</v>
      </c>
      <c r="K314" t="str">
        <f t="shared" si="16"/>
        <v>SEINFRA</v>
      </c>
    </row>
    <row r="315" spans="4:11" ht="22.5" x14ac:dyDescent="0.25">
      <c r="D315" s="245" t="s">
        <v>1571</v>
      </c>
      <c r="E315" s="245" t="s">
        <v>3384</v>
      </c>
      <c r="F315" s="245" t="str">
        <f t="shared" si="12"/>
        <v>UN</v>
      </c>
      <c r="G315" s="278">
        <f t="shared" si="13"/>
        <v>18</v>
      </c>
      <c r="I315" s="278">
        <f t="shared" si="14"/>
        <v>6.36</v>
      </c>
      <c r="J315" s="157">
        <f t="shared" si="15"/>
        <v>114.48</v>
      </c>
      <c r="K315" t="str">
        <f t="shared" si="16"/>
        <v>FGV</v>
      </c>
    </row>
    <row r="316" spans="4:11" x14ac:dyDescent="0.25">
      <c r="D316" s="245" t="s">
        <v>1574</v>
      </c>
      <c r="E316" s="245" t="s">
        <v>1575</v>
      </c>
      <c r="F316" s="245" t="str">
        <f t="shared" si="12"/>
        <v>UN</v>
      </c>
      <c r="G316" s="278">
        <f t="shared" si="13"/>
        <v>326</v>
      </c>
      <c r="I316" s="278">
        <f t="shared" si="14"/>
        <v>35.75</v>
      </c>
      <c r="J316" s="157">
        <f t="shared" si="15"/>
        <v>11654.5</v>
      </c>
      <c r="K316" t="str">
        <f t="shared" si="16"/>
        <v>FGV</v>
      </c>
    </row>
    <row r="317" spans="4:11" x14ac:dyDescent="0.25">
      <c r="D317" s="245" t="s">
        <v>1577</v>
      </c>
      <c r="E317" s="245" t="s">
        <v>1578</v>
      </c>
      <c r="F317" s="245" t="str">
        <f t="shared" si="12"/>
        <v>UN</v>
      </c>
      <c r="G317" s="278">
        <f t="shared" si="13"/>
        <v>36</v>
      </c>
      <c r="I317" s="278">
        <f t="shared" si="14"/>
        <v>172.26</v>
      </c>
      <c r="J317" s="157">
        <f t="shared" si="15"/>
        <v>6201.36</v>
      </c>
      <c r="K317" t="str">
        <f t="shared" si="16"/>
        <v>FGV</v>
      </c>
    </row>
    <row r="318" spans="4:11" ht="22.5" x14ac:dyDescent="0.25">
      <c r="D318" s="245" t="s">
        <v>1580</v>
      </c>
      <c r="E318" s="245" t="s">
        <v>1581</v>
      </c>
      <c r="F318" s="245" t="str">
        <f t="shared" si="12"/>
        <v>UN</v>
      </c>
      <c r="G318" s="278">
        <f t="shared" si="13"/>
        <v>7</v>
      </c>
      <c r="I318" s="278">
        <f t="shared" si="14"/>
        <v>37.78</v>
      </c>
      <c r="J318" s="157">
        <f t="shared" si="15"/>
        <v>264.46000000000004</v>
      </c>
      <c r="K318" t="str">
        <f t="shared" si="16"/>
        <v>FGV</v>
      </c>
    </row>
    <row r="319" spans="4:11" x14ac:dyDescent="0.25">
      <c r="G319" s="49"/>
    </row>
    <row r="320" spans="4:11" x14ac:dyDescent="0.25">
      <c r="G320" s="269"/>
    </row>
  </sheetData>
  <mergeCells count="7">
    <mergeCell ref="D271:I271"/>
    <mergeCell ref="C1:J1"/>
    <mergeCell ref="C2:J2"/>
    <mergeCell ref="C3:J3"/>
    <mergeCell ref="C4:J4"/>
    <mergeCell ref="B5:F5"/>
    <mergeCell ref="G5:J5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/>
  <dimension ref="A3:N216"/>
  <sheetViews>
    <sheetView topLeftCell="B1" workbookViewId="0">
      <selection activeCell="N3" sqref="N3"/>
    </sheetView>
  </sheetViews>
  <sheetFormatPr defaultRowHeight="15.75" x14ac:dyDescent="0.25"/>
  <cols>
    <col min="4" max="4" width="28.5" customWidth="1"/>
    <col min="10" max="10" width="5.25" customWidth="1"/>
    <col min="12" max="12" width="48.875" customWidth="1"/>
  </cols>
  <sheetData>
    <row r="3" spans="1:14" ht="15" customHeight="1" x14ac:dyDescent="0.25">
      <c r="A3">
        <v>1</v>
      </c>
      <c r="B3" s="244" t="s">
        <v>1446</v>
      </c>
      <c r="C3" s="244" t="s">
        <v>2882</v>
      </c>
      <c r="D3" s="245" t="s">
        <v>3315</v>
      </c>
      <c r="E3" s="244" t="s">
        <v>1082</v>
      </c>
      <c r="F3" s="256">
        <v>21</v>
      </c>
      <c r="G3" s="256">
        <v>277.81</v>
      </c>
      <c r="H3" s="256">
        <v>347.07</v>
      </c>
      <c r="J3" s="244">
        <v>1</v>
      </c>
      <c r="K3" s="245" t="str">
        <f>VLOOKUP(J3,$A$3:$H$216,2,FALSE)</f>
        <v xml:space="preserve"> 72289 </v>
      </c>
      <c r="L3" s="245" t="str">
        <f>VLOOKUP(J3,$A$3:$H$216,4,FALSE)</f>
        <v>CAIXA DE INSPEÇÃO 80X80X80CM EM ALVENARIA - EXECUÇÃO</v>
      </c>
      <c r="M3" s="256">
        <f>SUMIF($B$3:$B$216,K3,$F$3:$F$216)</f>
        <v>53</v>
      </c>
      <c r="N3" s="256">
        <f>VLOOKUP(J3,$A$3:$H$216,7,FALSE)</f>
        <v>277.81</v>
      </c>
    </row>
    <row r="4" spans="1:14" ht="15" customHeight="1" x14ac:dyDescent="0.25">
      <c r="A4">
        <f t="shared" ref="A4:A10" si="0">IF(B4=B3,A3,A3+1)</f>
        <v>1</v>
      </c>
      <c r="B4" s="244" t="s">
        <v>1446</v>
      </c>
      <c r="C4" s="244" t="s">
        <v>2882</v>
      </c>
      <c r="D4" s="245" t="s">
        <v>3315</v>
      </c>
      <c r="E4" s="244" t="s">
        <v>1082</v>
      </c>
      <c r="F4" s="256">
        <v>6</v>
      </c>
      <c r="G4" s="257">
        <v>277.81</v>
      </c>
      <c r="H4" s="257">
        <v>347.07</v>
      </c>
      <c r="J4" s="244">
        <v>2</v>
      </c>
      <c r="K4" s="245" t="str">
        <f t="shared" ref="K4:K48" si="1">VLOOKUP(J4,$A$3:$H$216,2,FALSE)</f>
        <v xml:space="preserve"> 72295 </v>
      </c>
      <c r="L4" s="245" t="str">
        <f t="shared" ref="L4:L48" si="2">VLOOKUP(J4,$A$3:$H$216,4,FALSE)</f>
        <v>CAP PVC ESGOTO 100MM (TAMPÃO) - FORNECIMENTO E INSTALAÇÃO</v>
      </c>
      <c r="M4" s="256">
        <f t="shared" ref="M4:M48" si="3">SUMIF($B$3:$B$216,K4,$F$3:$F$216)</f>
        <v>4</v>
      </c>
      <c r="N4" s="256">
        <f t="shared" ref="N4:N48" si="4">VLOOKUP(J4,$A$3:$H$216,7,FALSE)</f>
        <v>10.130000000000001</v>
      </c>
    </row>
    <row r="5" spans="1:14" ht="15" customHeight="1" x14ac:dyDescent="0.25">
      <c r="A5">
        <f t="shared" si="0"/>
        <v>1</v>
      </c>
      <c r="B5" s="244" t="s">
        <v>1446</v>
      </c>
      <c r="C5" s="244" t="s">
        <v>2882</v>
      </c>
      <c r="D5" s="259" t="s">
        <v>3315</v>
      </c>
      <c r="E5" s="244" t="s">
        <v>1082</v>
      </c>
      <c r="F5" s="256">
        <v>9</v>
      </c>
      <c r="G5" s="256">
        <v>277.81</v>
      </c>
      <c r="H5" s="256">
        <v>347.07</v>
      </c>
      <c r="J5" s="244">
        <v>3</v>
      </c>
      <c r="K5" s="245" t="str">
        <f t="shared" si="1"/>
        <v xml:space="preserve"> 89493 </v>
      </c>
      <c r="L5" s="245" t="str">
        <f t="shared" si="2"/>
        <v>JOELHO 45 GRAUS, PVC, SOLDÁVEL, DN 32MM, INSTALADO EM PRUMADA DE ÁGUA - FORNECIMENTO E INSTALAÇÃO. AF_12/2014_P</v>
      </c>
      <c r="M5" s="256">
        <f t="shared" si="3"/>
        <v>2</v>
      </c>
      <c r="N5" s="256">
        <f t="shared" si="4"/>
        <v>4.74</v>
      </c>
    </row>
    <row r="6" spans="1:14" ht="15" customHeight="1" x14ac:dyDescent="0.25">
      <c r="A6">
        <f t="shared" si="0"/>
        <v>1</v>
      </c>
      <c r="B6" s="244" t="s">
        <v>1446</v>
      </c>
      <c r="C6" s="244" t="s">
        <v>2882</v>
      </c>
      <c r="D6" s="245" t="s">
        <v>3315</v>
      </c>
      <c r="E6" s="244" t="s">
        <v>1082</v>
      </c>
      <c r="F6" s="256">
        <v>10</v>
      </c>
      <c r="G6" s="256">
        <v>277.81</v>
      </c>
      <c r="H6" s="256">
        <v>347.07</v>
      </c>
      <c r="J6" s="244">
        <v>4</v>
      </c>
      <c r="K6" s="245" t="str">
        <f t="shared" si="1"/>
        <v xml:space="preserve"> 89557 </v>
      </c>
      <c r="L6" s="245" t="str">
        <f t="shared" si="2"/>
        <v>REDUÇÃO EXCÊNTRICA, PVC, SERIE R, ÁGUA PLUVIAL, DN 100 X 75 MM, JUNTA ELÁSTICA, FORNECIDO E INSTALADO EM RAMAL DE ENCAMINHAMENTO. AF_12/2014</v>
      </c>
      <c r="M6" s="256">
        <f t="shared" si="3"/>
        <v>1</v>
      </c>
      <c r="N6" s="256">
        <f t="shared" si="4"/>
        <v>14.05</v>
      </c>
    </row>
    <row r="7" spans="1:14" ht="15" customHeight="1" x14ac:dyDescent="0.25">
      <c r="A7">
        <f t="shared" si="0"/>
        <v>1</v>
      </c>
      <c r="B7" s="244" t="s">
        <v>1446</v>
      </c>
      <c r="C7" s="244" t="s">
        <v>2882</v>
      </c>
      <c r="D7" s="245" t="s">
        <v>3315</v>
      </c>
      <c r="E7" s="244" t="s">
        <v>1082</v>
      </c>
      <c r="F7" s="256">
        <v>5</v>
      </c>
      <c r="G7" s="256">
        <v>277.81</v>
      </c>
      <c r="H7" s="256">
        <v>347.07</v>
      </c>
      <c r="J7" s="244">
        <v>5</v>
      </c>
      <c r="K7" s="245" t="str">
        <f t="shared" si="1"/>
        <v xml:space="preserve"> 89569 </v>
      </c>
      <c r="L7" s="245" t="str">
        <f t="shared" si="2"/>
        <v>JUNÇÃO SIMPLES, PVC, SERIE R, ÁGUA PLUVIAL, DN 100 X 75 MM, JUNTA ELÁSTICA, FORNECIDO E INSTALADO EM RAMAL DE ENCAMINHAMENTO. AF_12/2014</v>
      </c>
      <c r="M7" s="256">
        <f t="shared" si="3"/>
        <v>4</v>
      </c>
      <c r="N7" s="256">
        <f t="shared" si="4"/>
        <v>39.659999999999997</v>
      </c>
    </row>
    <row r="8" spans="1:14" ht="15" customHeight="1" x14ac:dyDescent="0.25">
      <c r="A8">
        <f t="shared" si="0"/>
        <v>1</v>
      </c>
      <c r="B8" s="244" t="s">
        <v>1446</v>
      </c>
      <c r="C8" s="244" t="s">
        <v>2882</v>
      </c>
      <c r="D8" s="245" t="s">
        <v>3315</v>
      </c>
      <c r="E8" s="244" t="s">
        <v>1082</v>
      </c>
      <c r="F8" s="256">
        <v>2</v>
      </c>
      <c r="G8" s="256">
        <v>277.81</v>
      </c>
      <c r="H8" s="256">
        <v>347.07</v>
      </c>
      <c r="J8" s="244">
        <v>6</v>
      </c>
      <c r="K8" s="245" t="str">
        <f t="shared" si="1"/>
        <v xml:space="preserve"> 89572 </v>
      </c>
      <c r="L8" s="245" t="str">
        <f t="shared" si="2"/>
        <v>ADAPTADOR CURTO COM BOLSA E ROSCA PARA REGISTRO, PVC, SOLDÁVEL, DN 40MM X 1.1/4", INSTALADO EM PRUMADA DE ÁGUA - FORNECIMENTO E INSTALAÇÃO. AF_12/2014_P</v>
      </c>
      <c r="M8" s="256">
        <f t="shared" si="3"/>
        <v>6</v>
      </c>
      <c r="N8" s="256">
        <f t="shared" si="4"/>
        <v>4.4800000000000004</v>
      </c>
    </row>
    <row r="9" spans="1:14" ht="15" customHeight="1" x14ac:dyDescent="0.25">
      <c r="A9">
        <f t="shared" si="0"/>
        <v>2</v>
      </c>
      <c r="B9" s="244" t="s">
        <v>1449</v>
      </c>
      <c r="C9" s="244" t="s">
        <v>2882</v>
      </c>
      <c r="D9" s="245" t="s">
        <v>3441</v>
      </c>
      <c r="E9" s="244" t="s">
        <v>1082</v>
      </c>
      <c r="F9" s="246">
        <v>4</v>
      </c>
      <c r="G9" s="246">
        <v>10.130000000000001</v>
      </c>
      <c r="H9" s="246">
        <v>12.66</v>
      </c>
      <c r="J9" s="244">
        <v>7</v>
      </c>
      <c r="K9" s="245" t="str">
        <f t="shared" si="1"/>
        <v xml:space="preserve"> 89665 </v>
      </c>
      <c r="L9" s="245" t="str">
        <f t="shared" si="2"/>
        <v>REDUÇÃO EXCÊNTRICA, PVC, SERIE R, ÁGUA PLUVIAL, DN 75 X 50 MM, JUNTA ELÁSTICA, FORNECIDO E INSTALADO EM CONDUTORES VERTICAIS DE ÁGUAS PLUVIAIS. AF_12/2014</v>
      </c>
      <c r="M9" s="256">
        <f t="shared" si="3"/>
        <v>38</v>
      </c>
      <c r="N9" s="256">
        <f t="shared" si="4"/>
        <v>7.2</v>
      </c>
    </row>
    <row r="10" spans="1:14" ht="15" customHeight="1" x14ac:dyDescent="0.25">
      <c r="A10">
        <f t="shared" si="0"/>
        <v>3</v>
      </c>
      <c r="B10" s="244" t="s">
        <v>1452</v>
      </c>
      <c r="C10" s="244" t="s">
        <v>2882</v>
      </c>
      <c r="D10" s="245" t="s">
        <v>3328</v>
      </c>
      <c r="E10" s="244" t="s">
        <v>1082</v>
      </c>
      <c r="F10" s="256">
        <v>2</v>
      </c>
      <c r="G10" s="256">
        <v>4.74</v>
      </c>
      <c r="H10" s="256">
        <v>5.92</v>
      </c>
      <c r="J10" s="244">
        <v>8</v>
      </c>
      <c r="K10" s="245" t="str">
        <f t="shared" si="1"/>
        <v xml:space="preserve"> 89709 </v>
      </c>
      <c r="L10" s="245" t="str">
        <f t="shared" si="2"/>
        <v>RALO SIFONADO, PVC, DN 100 X 40 MM, JUNTA SOLDÁVEL, FORNECIDO E INSTALADO EM RAMAL DE DESCARGA OU EM RAMAL DE ESGOTO SANITÁRIO. AF_12/2014_P</v>
      </c>
      <c r="M10" s="256">
        <f t="shared" si="3"/>
        <v>120</v>
      </c>
      <c r="N10" s="256">
        <f t="shared" si="4"/>
        <v>7.56</v>
      </c>
    </row>
    <row r="11" spans="1:14" ht="15" customHeight="1" x14ac:dyDescent="0.25">
      <c r="A11">
        <f t="shared" ref="A11:A74" si="5">IF(B11=B10,A10,A10+1)</f>
        <v>4</v>
      </c>
      <c r="B11" s="244" t="s">
        <v>1455</v>
      </c>
      <c r="C11" s="244" t="s">
        <v>2882</v>
      </c>
      <c r="D11" s="245" t="s">
        <v>3380</v>
      </c>
      <c r="E11" s="244" t="s">
        <v>1082</v>
      </c>
      <c r="F11" s="256">
        <v>1</v>
      </c>
      <c r="G11" s="256">
        <v>14.05</v>
      </c>
      <c r="H11" s="256">
        <v>17.55</v>
      </c>
      <c r="J11" s="244">
        <v>9</v>
      </c>
      <c r="K11" s="245" t="str">
        <f t="shared" si="1"/>
        <v xml:space="preserve"> 89724 </v>
      </c>
      <c r="L11" s="245" t="str">
        <f t="shared" si="2"/>
        <v>JOELHO 90 GRAUS, PVC, SERIE NORMAL, ESGOTO PREDIAL, DN 40 MM, JUNTA SOLDÁVEL, FORNECIDO E INSTALADO EM RAMAL DE DESCARGA OU RAMAL DE ESGOTO SANITÁRIO. AF_12/2014_P</v>
      </c>
      <c r="M11" s="256">
        <f t="shared" si="3"/>
        <v>684</v>
      </c>
      <c r="N11" s="256">
        <f t="shared" si="4"/>
        <v>4.47</v>
      </c>
    </row>
    <row r="12" spans="1:14" ht="15" customHeight="1" x14ac:dyDescent="0.25">
      <c r="A12">
        <f t="shared" si="5"/>
        <v>5</v>
      </c>
      <c r="B12" s="244" t="s">
        <v>1458</v>
      </c>
      <c r="C12" s="244" t="s">
        <v>2882</v>
      </c>
      <c r="D12" s="245" t="s">
        <v>3358</v>
      </c>
      <c r="E12" s="244" t="s">
        <v>1082</v>
      </c>
      <c r="F12" s="256">
        <v>2</v>
      </c>
      <c r="G12" s="256">
        <v>39.659999999999997</v>
      </c>
      <c r="H12" s="256">
        <v>49.55</v>
      </c>
      <c r="J12" s="244">
        <v>10</v>
      </c>
      <c r="K12" s="245" t="str">
        <f t="shared" si="1"/>
        <v xml:space="preserve"> 89726 </v>
      </c>
      <c r="L12" s="245" t="str">
        <f t="shared" si="2"/>
        <v>JOELHO 45 GRAUS, PVC, SERIE NORMAL, ESGOTO PREDIAL, DN 40 MM, JUNTA SOLDÁVEL, FORNECIDO E INSTALADO EM RAMAL DE DESCARGA OU RAMAL DE ESGOTO SANITÁRIO. AF_12/2014_P</v>
      </c>
      <c r="M12" s="256">
        <f t="shared" si="3"/>
        <v>480</v>
      </c>
      <c r="N12" s="256">
        <f t="shared" si="4"/>
        <v>4.63</v>
      </c>
    </row>
    <row r="13" spans="1:14" ht="15" customHeight="1" x14ac:dyDescent="0.25">
      <c r="A13">
        <f t="shared" si="5"/>
        <v>5</v>
      </c>
      <c r="B13" s="244" t="s">
        <v>1458</v>
      </c>
      <c r="C13" s="244" t="s">
        <v>2882</v>
      </c>
      <c r="D13" s="245" t="s">
        <v>3358</v>
      </c>
      <c r="E13" s="244" t="s">
        <v>1082</v>
      </c>
      <c r="F13" s="246">
        <v>2</v>
      </c>
      <c r="G13" s="246">
        <v>39.659999999999997</v>
      </c>
      <c r="H13" s="246">
        <v>49.55</v>
      </c>
      <c r="J13" s="244">
        <v>11</v>
      </c>
      <c r="K13" s="245" t="str">
        <f t="shared" si="1"/>
        <v xml:space="preserve"> 89731 </v>
      </c>
      <c r="L13" s="245" t="str">
        <f t="shared" si="2"/>
        <v>JOELHO 90 GRAUS, PVC, SERIE NORMAL, ESGOTO PREDIAL, DN 50 MM, JUNTA ELÁSTICA, FORNECIDO E INSTALADO EM RAMAL DE DESCARGA OU RAMAL DE ESGOTO SANITÁRIO. AF_12/2014</v>
      </c>
      <c r="M13" s="256">
        <f t="shared" si="3"/>
        <v>199</v>
      </c>
      <c r="N13" s="256">
        <f t="shared" si="4"/>
        <v>5.81</v>
      </c>
    </row>
    <row r="14" spans="1:14" ht="15" customHeight="1" x14ac:dyDescent="0.25">
      <c r="A14">
        <f t="shared" si="5"/>
        <v>6</v>
      </c>
      <c r="B14" s="244" t="s">
        <v>1461</v>
      </c>
      <c r="C14" s="244" t="s">
        <v>2882</v>
      </c>
      <c r="D14" s="245" t="s">
        <v>3342</v>
      </c>
      <c r="E14" s="244" t="s">
        <v>1082</v>
      </c>
      <c r="F14" s="256">
        <v>4</v>
      </c>
      <c r="G14" s="256">
        <v>4.4800000000000004</v>
      </c>
      <c r="H14" s="256">
        <v>5.6</v>
      </c>
      <c r="J14" s="244">
        <v>12</v>
      </c>
      <c r="K14" s="245" t="str">
        <f t="shared" si="1"/>
        <v xml:space="preserve"> 89732 </v>
      </c>
      <c r="L14" s="245" t="str">
        <f t="shared" si="2"/>
        <v>JOELHO 45 GRAUS, PVC, SERIE NORMAL, ESGOTO PREDIAL, DN 50 MM, JUNTA ELÁSTICA, FORNECIDO E INSTALADO EM RAMAL DE DESCARGA OU RAMAL DE ESGOTO SANITÁRIO. AF_12/2014</v>
      </c>
      <c r="M14" s="256">
        <f t="shared" si="3"/>
        <v>33</v>
      </c>
      <c r="N14" s="256">
        <f t="shared" si="4"/>
        <v>6.22</v>
      </c>
    </row>
    <row r="15" spans="1:14" ht="15" customHeight="1" x14ac:dyDescent="0.25">
      <c r="A15">
        <f t="shared" si="5"/>
        <v>6</v>
      </c>
      <c r="B15" s="244" t="s">
        <v>1461</v>
      </c>
      <c r="C15" s="244" t="s">
        <v>2882</v>
      </c>
      <c r="D15" s="245" t="s">
        <v>3342</v>
      </c>
      <c r="E15" s="244" t="s">
        <v>1082</v>
      </c>
      <c r="F15" s="256">
        <v>2</v>
      </c>
      <c r="G15" s="256">
        <v>4.4800000000000004</v>
      </c>
      <c r="H15" s="256">
        <v>5.6</v>
      </c>
      <c r="J15" s="244">
        <v>13</v>
      </c>
      <c r="K15" s="245" t="str">
        <f t="shared" si="1"/>
        <v xml:space="preserve"> 89737 </v>
      </c>
      <c r="L15" s="245" t="str">
        <f t="shared" si="2"/>
        <v>JOELHO 90 GRAUS, PVC, SERIE NORMAL, ESGOTO PREDIAL, DN 75 MM, JUNTA ELÁSTICA, FORNECIDO E INSTALADO EM RAMAL DE DESCARGA OU RAMAL DE ESGOTO SANITÁRIO. AF_12/2014</v>
      </c>
      <c r="M15" s="256">
        <f t="shared" si="3"/>
        <v>227</v>
      </c>
      <c r="N15" s="256">
        <f t="shared" si="4"/>
        <v>9.86</v>
      </c>
    </row>
    <row r="16" spans="1:14" ht="15" customHeight="1" x14ac:dyDescent="0.25">
      <c r="A16">
        <f t="shared" si="5"/>
        <v>7</v>
      </c>
      <c r="B16" s="244" t="s">
        <v>1464</v>
      </c>
      <c r="C16" s="244" t="s">
        <v>2882</v>
      </c>
      <c r="D16" s="245" t="s">
        <v>3382</v>
      </c>
      <c r="E16" s="244" t="s">
        <v>1082</v>
      </c>
      <c r="F16" s="256">
        <v>17</v>
      </c>
      <c r="G16" s="256">
        <v>7.2</v>
      </c>
      <c r="H16" s="256">
        <v>8.99</v>
      </c>
      <c r="J16" s="244">
        <v>14</v>
      </c>
      <c r="K16" s="245" t="str">
        <f t="shared" si="1"/>
        <v xml:space="preserve"> 89739 </v>
      </c>
      <c r="L16" s="245" t="str">
        <f t="shared" si="2"/>
        <v>JOELHO 45 GRAUS, PVC, SERIE NORMAL, ESGOTO PREDIAL, DN 75 MM, JUNTA ELÁSTICA, FORNECIDO E INSTALADO EM RAMAL DE DESCARGA OU RAMAL DE ESGOTO SANITÁRIO. AF_12/2014</v>
      </c>
      <c r="M16" s="256">
        <f t="shared" si="3"/>
        <v>2</v>
      </c>
      <c r="N16" s="256">
        <f t="shared" si="4"/>
        <v>10.4</v>
      </c>
    </row>
    <row r="17" spans="1:14" ht="15" customHeight="1" x14ac:dyDescent="0.25">
      <c r="A17">
        <f t="shared" si="5"/>
        <v>7</v>
      </c>
      <c r="B17" s="244" t="s">
        <v>1464</v>
      </c>
      <c r="C17" s="244" t="s">
        <v>2882</v>
      </c>
      <c r="D17" s="245" t="s">
        <v>3382</v>
      </c>
      <c r="E17" s="244" t="s">
        <v>1082</v>
      </c>
      <c r="F17" s="256">
        <v>2</v>
      </c>
      <c r="G17" s="257">
        <v>7.2</v>
      </c>
      <c r="H17" s="257">
        <v>8.99</v>
      </c>
      <c r="J17" s="244">
        <v>15</v>
      </c>
      <c r="K17" s="245" t="str">
        <f t="shared" si="1"/>
        <v xml:space="preserve"> 89744 </v>
      </c>
      <c r="L17" s="245" t="str">
        <f t="shared" si="2"/>
        <v>JOELHO 90 GRAUS, PVC, SERIE NORMAL, ESGOTO PREDIAL, DN 100 MM, JUNTA ELÁSTICA, FORNECIDO E INSTALADO EM RAMAL DE DESCARGA OU RAMAL DE ESGOTO SANITÁRIO. AF_12/2014</v>
      </c>
      <c r="M17" s="256">
        <f t="shared" si="3"/>
        <v>274</v>
      </c>
      <c r="N17" s="256">
        <f t="shared" si="4"/>
        <v>13.19</v>
      </c>
    </row>
    <row r="18" spans="1:14" ht="15" customHeight="1" x14ac:dyDescent="0.25">
      <c r="A18">
        <f t="shared" si="5"/>
        <v>7</v>
      </c>
      <c r="B18" s="244" t="s">
        <v>1464</v>
      </c>
      <c r="C18" s="244" t="s">
        <v>2882</v>
      </c>
      <c r="D18" s="259" t="s">
        <v>3382</v>
      </c>
      <c r="E18" s="244" t="s">
        <v>1082</v>
      </c>
      <c r="F18" s="256">
        <v>1</v>
      </c>
      <c r="G18" s="256">
        <v>7.2</v>
      </c>
      <c r="H18" s="256">
        <v>8.99</v>
      </c>
      <c r="J18" s="244">
        <v>16</v>
      </c>
      <c r="K18" s="245" t="str">
        <f t="shared" si="1"/>
        <v xml:space="preserve"> 89746 </v>
      </c>
      <c r="L18" s="245" t="str">
        <f t="shared" si="2"/>
        <v>JOELHO 45 GRAUS, PVC, SERIE NORMAL, ESGOTO PREDIAL, DN 100 MM, JUNTA ELÁSTICA, FORNECIDO E INSTALADO EM RAMAL DE DESCARGA OU RAMAL DE ESGOTO SANITÁRIO. AF_12/2014</v>
      </c>
      <c r="M18" s="256">
        <f t="shared" si="3"/>
        <v>76</v>
      </c>
      <c r="N18" s="256">
        <f t="shared" si="4"/>
        <v>12.82</v>
      </c>
    </row>
    <row r="19" spans="1:14" ht="15" customHeight="1" x14ac:dyDescent="0.25">
      <c r="A19">
        <f t="shared" si="5"/>
        <v>7</v>
      </c>
      <c r="B19" s="244" t="s">
        <v>1464</v>
      </c>
      <c r="C19" s="244" t="s">
        <v>2882</v>
      </c>
      <c r="D19" s="245" t="s">
        <v>3382</v>
      </c>
      <c r="E19" s="244" t="s">
        <v>1082</v>
      </c>
      <c r="F19" s="256">
        <v>8</v>
      </c>
      <c r="G19" s="256">
        <v>7.2</v>
      </c>
      <c r="H19" s="256">
        <v>8.99</v>
      </c>
      <c r="J19" s="244">
        <v>17</v>
      </c>
      <c r="K19" s="245" t="str">
        <f t="shared" si="1"/>
        <v xml:space="preserve"> 89754 </v>
      </c>
      <c r="L19" s="245" t="str">
        <f t="shared" si="2"/>
        <v>LUVA DE CORRER, PVC, SERIE NORMAL, ESGOTO PREDIAL, DN 50 MM, JUNTA ELÁSTICA, FORNECIDO E INSTALADO EM RAMAL DE DESCARGA OU RAMAL DE ESGOTO SANITÁRIO. AF_12/2014</v>
      </c>
      <c r="M19" s="256">
        <f t="shared" si="3"/>
        <v>8</v>
      </c>
      <c r="N19" s="256">
        <f t="shared" si="4"/>
        <v>8.4</v>
      </c>
    </row>
    <row r="20" spans="1:14" ht="15" customHeight="1" x14ac:dyDescent="0.25">
      <c r="A20">
        <f t="shared" si="5"/>
        <v>7</v>
      </c>
      <c r="B20" s="244" t="s">
        <v>1464</v>
      </c>
      <c r="C20" s="244" t="s">
        <v>2882</v>
      </c>
      <c r="D20" s="245" t="s">
        <v>3382</v>
      </c>
      <c r="E20" s="244" t="s">
        <v>1082</v>
      </c>
      <c r="F20" s="256">
        <v>5</v>
      </c>
      <c r="G20" s="256">
        <v>7.2</v>
      </c>
      <c r="H20" s="256">
        <v>8.99</v>
      </c>
      <c r="J20" s="244">
        <v>18</v>
      </c>
      <c r="K20" s="245" t="str">
        <f t="shared" si="1"/>
        <v xml:space="preserve"> 89776 </v>
      </c>
      <c r="L20" s="245" t="str">
        <f t="shared" si="2"/>
        <v>LUVA DE CORRER, PVC, SERIE NORMAL, ESGOTO PREDIAL, DN 75 MM, JUNTA ELÁSTICA, FORNECIDO E INSTALADO EM RAMAL DE DESCARGA OU RAMAL DE ESGOTO SANITÁRIO. AF_12/2014</v>
      </c>
      <c r="M20" s="256">
        <f t="shared" si="3"/>
        <v>8</v>
      </c>
      <c r="N20" s="256">
        <f t="shared" si="4"/>
        <v>10.52</v>
      </c>
    </row>
    <row r="21" spans="1:14" ht="15" customHeight="1" x14ac:dyDescent="0.25">
      <c r="A21">
        <f t="shared" si="5"/>
        <v>7</v>
      </c>
      <c r="B21" s="244" t="s">
        <v>1464</v>
      </c>
      <c r="C21" s="244" t="s">
        <v>2882</v>
      </c>
      <c r="D21" s="245" t="s">
        <v>3382</v>
      </c>
      <c r="E21" s="244" t="s">
        <v>1082</v>
      </c>
      <c r="F21" s="246">
        <v>5</v>
      </c>
      <c r="G21" s="246">
        <v>7.2</v>
      </c>
      <c r="H21" s="246">
        <v>8.99</v>
      </c>
      <c r="J21" s="244">
        <v>19</v>
      </c>
      <c r="K21" s="245" t="str">
        <f t="shared" si="1"/>
        <v xml:space="preserve"> 89785 </v>
      </c>
      <c r="L21" s="245" t="str">
        <f t="shared" si="2"/>
        <v>JUNÇÃO SIMPLES, PVC, SERIE NORMAL, ESGOTO PREDIAL, DN 50 X 50 MM, JUNTA ELÁSTICA, FORNECIDO E INSTALADO EM RAMAL DE DESCARGA OU RAMAL DE ESGOTO SANITÁRIO. AF_12/2014</v>
      </c>
      <c r="M21" s="256">
        <f t="shared" si="3"/>
        <v>31</v>
      </c>
      <c r="N21" s="256">
        <f t="shared" si="4"/>
        <v>10.85</v>
      </c>
    </row>
    <row r="22" spans="1:14" ht="15" customHeight="1" x14ac:dyDescent="0.25">
      <c r="A22">
        <f t="shared" si="5"/>
        <v>8</v>
      </c>
      <c r="B22" s="244" t="s">
        <v>1467</v>
      </c>
      <c r="C22" s="244" t="s">
        <v>2882</v>
      </c>
      <c r="D22" s="245" t="s">
        <v>3378</v>
      </c>
      <c r="E22" s="244" t="s">
        <v>1082</v>
      </c>
      <c r="F22" s="256">
        <v>31</v>
      </c>
      <c r="G22" s="256">
        <v>7.56</v>
      </c>
      <c r="H22" s="256">
        <v>9.44</v>
      </c>
      <c r="J22" s="244">
        <v>20</v>
      </c>
      <c r="K22" s="245" t="str">
        <f t="shared" si="1"/>
        <v xml:space="preserve"> 89795 </v>
      </c>
      <c r="L22" s="245" t="str">
        <f t="shared" si="2"/>
        <v>JUNÇÃO SIMPLES, PVC, SERIE NORMAL, ESGOTO PREDIAL, DN 75 X 75 MM, JUNTA ELÁSTICA, FORNECIDO E INSTALADO EM RAMAL DE DESCARGA OU RAMAL DE ESGOTO SANITÁRIO. AF_12/2014</v>
      </c>
      <c r="M22" s="256">
        <f t="shared" si="3"/>
        <v>1</v>
      </c>
      <c r="N22" s="256">
        <f t="shared" si="4"/>
        <v>18.21</v>
      </c>
    </row>
    <row r="23" spans="1:14" ht="15" customHeight="1" x14ac:dyDescent="0.25">
      <c r="A23">
        <f t="shared" si="5"/>
        <v>8</v>
      </c>
      <c r="B23" s="244" t="s">
        <v>1467</v>
      </c>
      <c r="C23" s="244" t="s">
        <v>2882</v>
      </c>
      <c r="D23" s="259" t="s">
        <v>3378</v>
      </c>
      <c r="E23" s="244" t="s">
        <v>1082</v>
      </c>
      <c r="F23" s="256">
        <v>14</v>
      </c>
      <c r="G23" s="256">
        <v>7.56</v>
      </c>
      <c r="H23" s="256">
        <v>9.44</v>
      </c>
      <c r="J23" s="244">
        <v>21</v>
      </c>
      <c r="K23" s="245" t="str">
        <f t="shared" si="1"/>
        <v xml:space="preserve"> 89797 </v>
      </c>
      <c r="L23" s="245" t="str">
        <f t="shared" si="2"/>
        <v>JUNÇÃO SIMPLES, PVC, SERIE NORMAL, ESGOTO PREDIAL, DN 100 X 100 MM, JUNTA ELÁSTICA, FORNECIDO E INSTALADO EM RAMAL DE DESCARGA OU RAMAL DE ESGOTO SANITÁRIO. AF_12/2014</v>
      </c>
      <c r="M23" s="256">
        <f t="shared" si="3"/>
        <v>90</v>
      </c>
      <c r="N23" s="256">
        <f t="shared" si="4"/>
        <v>24.11</v>
      </c>
    </row>
    <row r="24" spans="1:14" ht="15" customHeight="1" x14ac:dyDescent="0.25">
      <c r="A24">
        <f t="shared" si="5"/>
        <v>8</v>
      </c>
      <c r="B24" s="244" t="s">
        <v>1467</v>
      </c>
      <c r="C24" s="244" t="s">
        <v>2882</v>
      </c>
      <c r="D24" s="245" t="s">
        <v>3378</v>
      </c>
      <c r="E24" s="244" t="s">
        <v>1082</v>
      </c>
      <c r="F24" s="256">
        <v>8</v>
      </c>
      <c r="G24" s="256">
        <v>7.56</v>
      </c>
      <c r="H24" s="256">
        <v>9.44</v>
      </c>
      <c r="J24" s="244">
        <v>22</v>
      </c>
      <c r="K24" s="245" t="str">
        <f t="shared" si="1"/>
        <v xml:space="preserve"> 89854 </v>
      </c>
      <c r="L24" s="245" t="str">
        <f t="shared" si="2"/>
        <v>JOELHO 90 GRAUS, PVC, SERIE NORMAL, ESGOTO PREDIAL, DN 150 MM, JUNTA ELÁSTICA, FORNECIDO E INSTALADO EM SUBCOLETOR AÉREO DE ESGOTO SANITÁRIO. AF_12/2014</v>
      </c>
      <c r="M24" s="256">
        <f t="shared" si="3"/>
        <v>1</v>
      </c>
      <c r="N24" s="256">
        <f t="shared" si="4"/>
        <v>59.79</v>
      </c>
    </row>
    <row r="25" spans="1:14" ht="15" customHeight="1" x14ac:dyDescent="0.25">
      <c r="A25">
        <f t="shared" si="5"/>
        <v>8</v>
      </c>
      <c r="B25" s="244" t="s">
        <v>1467</v>
      </c>
      <c r="C25" s="244" t="s">
        <v>2882</v>
      </c>
      <c r="D25" s="245" t="s">
        <v>3378</v>
      </c>
      <c r="E25" s="244" t="s">
        <v>1082</v>
      </c>
      <c r="F25" s="256">
        <v>1</v>
      </c>
      <c r="G25" s="256">
        <v>7.56</v>
      </c>
      <c r="H25" s="256">
        <v>9.44</v>
      </c>
      <c r="J25" s="244">
        <v>23</v>
      </c>
      <c r="K25" s="245" t="str">
        <f t="shared" si="1"/>
        <v xml:space="preserve"> 91792 </v>
      </c>
      <c r="L25" s="245" t="str">
        <f t="shared" si="2"/>
        <v>SERVIÇO DE INSTALAÇÃO DE TUBO DE PVC, SÉRIE NORMAL, ESGOTO PREDIAL, DN 40 MM (INSTALADO EM RAMAL DE DESCARGA OU RAMAL DE ESGOTO SANITÁRIO), INCLUSIVE CONEXÕES, CORTES E FIXAÇÕES, PARA PRÉDIOS. AF_10/2015_P</v>
      </c>
      <c r="M25" s="256">
        <f t="shared" si="3"/>
        <v>700.12</v>
      </c>
      <c r="N25" s="256">
        <f t="shared" si="4"/>
        <v>31.17</v>
      </c>
    </row>
    <row r="26" spans="1:14" ht="15" customHeight="1" x14ac:dyDescent="0.25">
      <c r="A26">
        <f t="shared" si="5"/>
        <v>8</v>
      </c>
      <c r="B26" s="244" t="s">
        <v>1467</v>
      </c>
      <c r="C26" s="244" t="s">
        <v>2882</v>
      </c>
      <c r="D26" s="245" t="s">
        <v>3378</v>
      </c>
      <c r="E26" s="244" t="s">
        <v>1082</v>
      </c>
      <c r="F26" s="256">
        <v>2</v>
      </c>
      <c r="G26" s="256">
        <v>7.56</v>
      </c>
      <c r="H26" s="256">
        <v>9.44</v>
      </c>
      <c r="J26" s="244">
        <v>24</v>
      </c>
      <c r="K26" s="245" t="str">
        <f t="shared" si="1"/>
        <v xml:space="preserve"> 91793 </v>
      </c>
      <c r="L26" s="245" t="str">
        <f t="shared" si="2"/>
        <v>SERVIÇO DE INSTALAÇÃO DE TUBO DE PVC, SÉRIE NORMAL, ESGOTO PREDIAL, DN 50 MM (INSTALADO EM RAMAL DE DESCARGA OU RAMAL DE ESGOTO SANITÁRIO), INCLUSIVE CONEXÕES, CORTES E FIXAÇÕES PARA, PRÉDIOS. AF_10/2015_P</v>
      </c>
      <c r="M26" s="256">
        <f t="shared" si="3"/>
        <v>1078.0239999999999</v>
      </c>
      <c r="N26" s="256">
        <f t="shared" si="4"/>
        <v>46.45</v>
      </c>
    </row>
    <row r="27" spans="1:14" ht="15" customHeight="1" x14ac:dyDescent="0.25">
      <c r="A27">
        <f t="shared" si="5"/>
        <v>8</v>
      </c>
      <c r="B27" s="244" t="s">
        <v>1467</v>
      </c>
      <c r="C27" s="244" t="s">
        <v>2882</v>
      </c>
      <c r="D27" s="245" t="s">
        <v>3378</v>
      </c>
      <c r="E27" s="244" t="s">
        <v>1082</v>
      </c>
      <c r="F27" s="246">
        <v>32</v>
      </c>
      <c r="G27" s="246">
        <v>7.56</v>
      </c>
      <c r="H27" s="246">
        <v>9.44</v>
      </c>
      <c r="J27" s="244">
        <v>25</v>
      </c>
      <c r="K27" s="245" t="str">
        <f t="shared" si="1"/>
        <v xml:space="preserve"> 91794 </v>
      </c>
      <c r="L27" s="245" t="str">
        <f t="shared" si="2"/>
        <v>SERVIÇO DE INST. TUBO PVC, SÉRIE N, ESGOTO PREDIAL, DN 75 MM, (INST. EM RAMAL DE DESCARGA, RAMAL DE ESG. SANITÁRIO, PRUMADA DE ESG. SANITÁRIO OU VENTILAÇÃO), INCL. CONEXÕES, CORTES E FIXAÇÕES, P/ PRÉDIOS. AF_10/2015_P</v>
      </c>
      <c r="M27" s="256">
        <f t="shared" si="3"/>
        <v>849.45</v>
      </c>
      <c r="N27" s="256">
        <f t="shared" si="4"/>
        <v>21.08</v>
      </c>
    </row>
    <row r="28" spans="1:14" ht="15" customHeight="1" x14ac:dyDescent="0.25">
      <c r="A28">
        <f t="shared" si="5"/>
        <v>8</v>
      </c>
      <c r="B28" s="244" t="s">
        <v>1467</v>
      </c>
      <c r="C28" s="244" t="s">
        <v>2882</v>
      </c>
      <c r="D28" s="245" t="s">
        <v>3378</v>
      </c>
      <c r="E28" s="244" t="s">
        <v>1082</v>
      </c>
      <c r="F28" s="246">
        <v>32</v>
      </c>
      <c r="G28" s="246">
        <v>7.56</v>
      </c>
      <c r="H28" s="246">
        <v>9.44</v>
      </c>
      <c r="J28" s="244">
        <v>26</v>
      </c>
      <c r="K28" s="245" t="str">
        <f t="shared" si="1"/>
        <v xml:space="preserve"> 91795 </v>
      </c>
      <c r="L28" s="245" t="str">
        <f t="shared" si="2"/>
        <v>SERVIÇO DE INST. TUBO PVC, SÉRIE N, ESGOTO PREDIAL, 100 MM (INST. RAMAL DESCARGA, RAMAL DE ESG. SANIT., PRUMADA ESG. SANIT., VENTILAÇÃO OU SUB-COLETOR AÉREO), INCL. CONEXÕES E CORTES, FIXAÇÕES, P/ PRÉDIOS. AF_10/2015_P</v>
      </c>
      <c r="M28" s="256">
        <f t="shared" si="3"/>
        <v>1499.7099999999998</v>
      </c>
      <c r="N28" s="256">
        <f t="shared" si="4"/>
        <v>36.130000000000003</v>
      </c>
    </row>
    <row r="29" spans="1:14" ht="15" customHeight="1" x14ac:dyDescent="0.25">
      <c r="A29">
        <f t="shared" si="5"/>
        <v>9</v>
      </c>
      <c r="B29" s="244" t="s">
        <v>1470</v>
      </c>
      <c r="C29" s="244" t="s">
        <v>2882</v>
      </c>
      <c r="D29" s="245" t="s">
        <v>3338</v>
      </c>
      <c r="E29" s="244" t="s">
        <v>1082</v>
      </c>
      <c r="F29" s="256">
        <v>216</v>
      </c>
      <c r="G29" s="256">
        <v>4.47</v>
      </c>
      <c r="H29" s="256">
        <v>5.58</v>
      </c>
      <c r="J29" s="244">
        <v>27</v>
      </c>
      <c r="K29" s="245" t="str">
        <f t="shared" si="1"/>
        <v xml:space="preserve"> 91796 </v>
      </c>
      <c r="L29" s="245" t="str">
        <f t="shared" si="2"/>
        <v>SERVIÇO DE INSTALAÇÃO DE TUBO DE PVC, SÉRIE NORMAL, ESGOTO PREDIAL, DN 150 MM (INSTALADO EM SUB-COLETOR AÉREO), INCLUSIVE CONEXÕES, CORTES E FIXAÇÕES, PARA PRÉDIOS. AF_10/2015_P</v>
      </c>
      <c r="M29" s="256">
        <f t="shared" si="3"/>
        <v>391.25</v>
      </c>
      <c r="N29" s="256">
        <f t="shared" si="4"/>
        <v>11.96</v>
      </c>
    </row>
    <row r="30" spans="1:14" ht="15" customHeight="1" x14ac:dyDescent="0.25">
      <c r="A30">
        <f t="shared" si="5"/>
        <v>9</v>
      </c>
      <c r="B30" s="244" t="s">
        <v>1470</v>
      </c>
      <c r="C30" s="244" t="s">
        <v>2882</v>
      </c>
      <c r="D30" s="245" t="s">
        <v>3338</v>
      </c>
      <c r="E30" s="244" t="s">
        <v>1082</v>
      </c>
      <c r="F30" s="256">
        <v>8</v>
      </c>
      <c r="G30" s="257">
        <v>4.47</v>
      </c>
      <c r="H30" s="257">
        <v>5.58</v>
      </c>
      <c r="J30" s="244">
        <v>28</v>
      </c>
      <c r="K30" s="245" t="str">
        <f t="shared" si="1"/>
        <v xml:space="preserve"> C0601 </v>
      </c>
      <c r="L30" s="245" t="str">
        <f t="shared" si="2"/>
        <v>CAIXA DE GORDURA/SABÃO EM ALVENARIA</v>
      </c>
      <c r="M30" s="256">
        <f t="shared" si="3"/>
        <v>38</v>
      </c>
      <c r="N30" s="256">
        <f t="shared" si="4"/>
        <v>181.41</v>
      </c>
    </row>
    <row r="31" spans="1:14" ht="15" customHeight="1" x14ac:dyDescent="0.25">
      <c r="A31">
        <f t="shared" si="5"/>
        <v>9</v>
      </c>
      <c r="B31" s="244" t="s">
        <v>1470</v>
      </c>
      <c r="C31" s="244" t="s">
        <v>2882</v>
      </c>
      <c r="D31" s="259" t="s">
        <v>3338</v>
      </c>
      <c r="E31" s="244" t="s">
        <v>1082</v>
      </c>
      <c r="F31" s="256">
        <v>64</v>
      </c>
      <c r="G31" s="256">
        <v>4.47</v>
      </c>
      <c r="H31" s="256">
        <v>5.58</v>
      </c>
      <c r="J31" s="244">
        <v>29</v>
      </c>
      <c r="K31" s="245" t="str">
        <f t="shared" si="1"/>
        <v xml:space="preserve"> C0604 </v>
      </c>
      <c r="L31" s="245" t="str">
        <f t="shared" si="2"/>
        <v>CAIXA DE INSPEÇÃO EM ALVENARIA - 1 TIJOLO COMUM</v>
      </c>
      <c r="M31" s="256">
        <f t="shared" si="3"/>
        <v>55.620000000000005</v>
      </c>
      <c r="N31" s="256">
        <f t="shared" si="4"/>
        <v>140.58000000000001</v>
      </c>
    </row>
    <row r="32" spans="1:14" ht="15" customHeight="1" x14ac:dyDescent="0.25">
      <c r="A32">
        <f t="shared" si="5"/>
        <v>9</v>
      </c>
      <c r="B32" s="244" t="s">
        <v>1470</v>
      </c>
      <c r="C32" s="244" t="s">
        <v>2882</v>
      </c>
      <c r="D32" s="245" t="s">
        <v>3338</v>
      </c>
      <c r="E32" s="244" t="s">
        <v>1082</v>
      </c>
      <c r="F32" s="256">
        <v>46</v>
      </c>
      <c r="G32" s="256">
        <v>4.47</v>
      </c>
      <c r="H32" s="256">
        <v>5.58</v>
      </c>
      <c r="J32" s="244">
        <v>30</v>
      </c>
      <c r="K32" s="245" t="str">
        <f t="shared" si="1"/>
        <v xml:space="preserve"> C1540 </v>
      </c>
      <c r="L32" s="245" t="str">
        <f t="shared" si="2"/>
        <v>JOELHO OU CURVA PVC ROSC. D=1 1/2" (50mm)</v>
      </c>
      <c r="M32" s="256">
        <f t="shared" si="3"/>
        <v>121</v>
      </c>
      <c r="N32" s="256">
        <f t="shared" si="4"/>
        <v>17.95</v>
      </c>
    </row>
    <row r="33" spans="1:14" ht="15" customHeight="1" x14ac:dyDescent="0.25">
      <c r="A33">
        <f t="shared" si="5"/>
        <v>9</v>
      </c>
      <c r="B33" s="244" t="s">
        <v>1470</v>
      </c>
      <c r="C33" s="244" t="s">
        <v>2882</v>
      </c>
      <c r="D33" s="245" t="s">
        <v>3338</v>
      </c>
      <c r="E33" s="244" t="s">
        <v>1082</v>
      </c>
      <c r="F33" s="256">
        <v>34</v>
      </c>
      <c r="G33" s="256">
        <v>4.47</v>
      </c>
      <c r="H33" s="256">
        <v>5.58</v>
      </c>
      <c r="J33" s="244">
        <v>31</v>
      </c>
      <c r="K33" s="245" t="str">
        <f t="shared" si="1"/>
        <v xml:space="preserve"> C1541 </v>
      </c>
      <c r="L33" s="245" t="str">
        <f t="shared" si="2"/>
        <v>JOELHO OU CURVA PVC ROSC. D=1 1/4" (40mm)</v>
      </c>
      <c r="M33" s="256">
        <f t="shared" si="3"/>
        <v>6</v>
      </c>
      <c r="N33" s="256">
        <f t="shared" si="4"/>
        <v>16.63</v>
      </c>
    </row>
    <row r="34" spans="1:14" ht="15" customHeight="1" x14ac:dyDescent="0.25">
      <c r="A34">
        <f t="shared" si="5"/>
        <v>9</v>
      </c>
      <c r="B34" s="244" t="s">
        <v>1470</v>
      </c>
      <c r="C34" s="244" t="s">
        <v>2882</v>
      </c>
      <c r="D34" s="245" t="s">
        <v>3338</v>
      </c>
      <c r="E34" s="244" t="s">
        <v>1082</v>
      </c>
      <c r="F34" s="256">
        <v>10</v>
      </c>
      <c r="G34" s="256">
        <v>4.47</v>
      </c>
      <c r="H34" s="256">
        <v>5.58</v>
      </c>
      <c r="J34" s="244">
        <v>32</v>
      </c>
      <c r="K34" s="245" t="str">
        <f t="shared" si="1"/>
        <v xml:space="preserve"> C1544 </v>
      </c>
      <c r="L34" s="245" t="str">
        <f t="shared" si="2"/>
        <v>JOELHO OU CURVA PVC ROSC. D=2 1/2" (75mm)</v>
      </c>
      <c r="M34" s="256">
        <f t="shared" si="3"/>
        <v>9</v>
      </c>
      <c r="N34" s="256">
        <f t="shared" si="4"/>
        <v>56.33</v>
      </c>
    </row>
    <row r="35" spans="1:14" ht="15" customHeight="1" x14ac:dyDescent="0.25">
      <c r="A35">
        <f t="shared" si="5"/>
        <v>9</v>
      </c>
      <c r="B35" s="244" t="s">
        <v>1470</v>
      </c>
      <c r="C35" s="244" t="s">
        <v>2882</v>
      </c>
      <c r="D35" s="245" t="s">
        <v>3338</v>
      </c>
      <c r="E35" s="244" t="s">
        <v>1082</v>
      </c>
      <c r="F35" s="246">
        <v>163</v>
      </c>
      <c r="G35" s="246">
        <v>4.47</v>
      </c>
      <c r="H35" s="246">
        <v>5.58</v>
      </c>
      <c r="J35" s="244">
        <v>33</v>
      </c>
      <c r="K35" s="245" t="str">
        <f t="shared" si="1"/>
        <v xml:space="preserve"> C1548 </v>
      </c>
      <c r="L35" s="245" t="str">
        <f t="shared" si="2"/>
        <v>JOELHO OU CURVA PVC ROSC. D=4" (110mm)</v>
      </c>
      <c r="M35" s="256">
        <f t="shared" si="3"/>
        <v>87</v>
      </c>
      <c r="N35" s="256">
        <f t="shared" si="4"/>
        <v>121.83</v>
      </c>
    </row>
    <row r="36" spans="1:14" ht="15" customHeight="1" x14ac:dyDescent="0.25">
      <c r="A36">
        <f t="shared" si="5"/>
        <v>9</v>
      </c>
      <c r="B36" s="244" t="s">
        <v>1470</v>
      </c>
      <c r="C36" s="244" t="s">
        <v>2882</v>
      </c>
      <c r="D36" s="245" t="s">
        <v>3338</v>
      </c>
      <c r="E36" s="244" t="s">
        <v>1082</v>
      </c>
      <c r="F36" s="246">
        <v>143</v>
      </c>
      <c r="G36" s="246">
        <v>4.47</v>
      </c>
      <c r="H36" s="246">
        <v>5.58</v>
      </c>
      <c r="J36" s="244">
        <v>34</v>
      </c>
      <c r="K36" s="245" t="str">
        <f t="shared" si="1"/>
        <v xml:space="preserve"> C1579 </v>
      </c>
      <c r="L36" s="245" t="str">
        <f t="shared" si="2"/>
        <v>JUNÇÃO SIMPLES DE REDUÇÃO PVC P/ESGOTO 75X50mm (3"X2")</v>
      </c>
      <c r="M36" s="256">
        <f t="shared" si="3"/>
        <v>22</v>
      </c>
      <c r="N36" s="256">
        <f t="shared" si="4"/>
        <v>22.49</v>
      </c>
    </row>
    <row r="37" spans="1:14" ht="15" customHeight="1" x14ac:dyDescent="0.25">
      <c r="A37">
        <f t="shared" si="5"/>
        <v>10</v>
      </c>
      <c r="B37" s="244" t="s">
        <v>1473</v>
      </c>
      <c r="C37" s="244" t="s">
        <v>2882</v>
      </c>
      <c r="D37" s="245" t="s">
        <v>3330</v>
      </c>
      <c r="E37" s="244" t="s">
        <v>1082</v>
      </c>
      <c r="F37" s="256">
        <v>139</v>
      </c>
      <c r="G37" s="256">
        <v>4.63</v>
      </c>
      <c r="H37" s="256">
        <v>5.78</v>
      </c>
      <c r="J37" s="244">
        <v>35</v>
      </c>
      <c r="K37" s="245" t="str">
        <f t="shared" si="1"/>
        <v xml:space="preserve"> C1582 </v>
      </c>
      <c r="L37" s="245" t="str">
        <f t="shared" si="2"/>
        <v>JUNÇÃO SIMPLES DE REDUÇÃO PVC P/ESGOTO 100X50mm(4"X2")</v>
      </c>
      <c r="M37" s="256">
        <f t="shared" si="3"/>
        <v>244</v>
      </c>
      <c r="N37" s="256">
        <f t="shared" si="4"/>
        <v>23.99</v>
      </c>
    </row>
    <row r="38" spans="1:14" ht="15" customHeight="1" x14ac:dyDescent="0.25">
      <c r="A38">
        <f t="shared" si="5"/>
        <v>10</v>
      </c>
      <c r="B38" s="244" t="s">
        <v>1473</v>
      </c>
      <c r="C38" s="244" t="s">
        <v>2882</v>
      </c>
      <c r="D38" s="245" t="s">
        <v>3330</v>
      </c>
      <c r="E38" s="244" t="s">
        <v>1082</v>
      </c>
      <c r="F38" s="256">
        <v>4</v>
      </c>
      <c r="G38" s="257">
        <v>4.63</v>
      </c>
      <c r="H38" s="257">
        <v>5.78</v>
      </c>
      <c r="J38" s="244">
        <v>36</v>
      </c>
      <c r="K38" s="245" t="str">
        <f t="shared" si="1"/>
        <v xml:space="preserve"> C2347 </v>
      </c>
      <c r="L38" s="245" t="str">
        <f t="shared" si="2"/>
        <v>TÊ PVC BRANCO C/REDUÇÃO P/ESGOTO D=100X50mm (4"X2")</v>
      </c>
      <c r="M38" s="256">
        <f t="shared" si="3"/>
        <v>15</v>
      </c>
      <c r="N38" s="256">
        <f t="shared" si="4"/>
        <v>24.3</v>
      </c>
    </row>
    <row r="39" spans="1:14" ht="15" customHeight="1" x14ac:dyDescent="0.25">
      <c r="A39">
        <f t="shared" si="5"/>
        <v>10</v>
      </c>
      <c r="B39" s="244" t="s">
        <v>1473</v>
      </c>
      <c r="C39" s="244" t="s">
        <v>2882</v>
      </c>
      <c r="D39" s="259" t="s">
        <v>3330</v>
      </c>
      <c r="E39" s="244" t="s">
        <v>1082</v>
      </c>
      <c r="F39" s="256">
        <v>49</v>
      </c>
      <c r="G39" s="256">
        <v>4.63</v>
      </c>
      <c r="H39" s="256">
        <v>5.78</v>
      </c>
      <c r="J39" s="244">
        <v>37</v>
      </c>
      <c r="K39" s="245" t="str">
        <f t="shared" si="1"/>
        <v xml:space="preserve"> C2348 </v>
      </c>
      <c r="L39" s="245" t="str">
        <f t="shared" si="2"/>
        <v>TÊ PVC BRANCO C/REDUÇÃO P/ESGOTO D=100X75mm (4"X3")</v>
      </c>
      <c r="M39" s="256">
        <f t="shared" si="3"/>
        <v>97</v>
      </c>
      <c r="N39" s="256">
        <f t="shared" si="4"/>
        <v>25.33</v>
      </c>
    </row>
    <row r="40" spans="1:14" ht="15" customHeight="1" x14ac:dyDescent="0.25">
      <c r="A40">
        <f t="shared" si="5"/>
        <v>10</v>
      </c>
      <c r="B40" s="244" t="s">
        <v>1473</v>
      </c>
      <c r="C40" s="244" t="s">
        <v>2882</v>
      </c>
      <c r="D40" s="245" t="s">
        <v>3330</v>
      </c>
      <c r="E40" s="244" t="s">
        <v>1082</v>
      </c>
      <c r="F40" s="256">
        <v>19</v>
      </c>
      <c r="G40" s="256">
        <v>4.63</v>
      </c>
      <c r="H40" s="256">
        <v>5.78</v>
      </c>
      <c r="J40" s="244">
        <v>38</v>
      </c>
      <c r="K40" s="245" t="str">
        <f t="shared" si="1"/>
        <v xml:space="preserve"> C2359 </v>
      </c>
      <c r="L40" s="245" t="str">
        <f t="shared" si="2"/>
        <v>TÊ PVC BRANCO P/ESGOTO D=50MM (2</v>
      </c>
      <c r="M40" s="256">
        <f t="shared" si="3"/>
        <v>60</v>
      </c>
      <c r="N40" s="256">
        <f t="shared" si="4"/>
        <v>14.7</v>
      </c>
    </row>
    <row r="41" spans="1:14" ht="15" customHeight="1" x14ac:dyDescent="0.25">
      <c r="A41">
        <f t="shared" si="5"/>
        <v>10</v>
      </c>
      <c r="B41" s="244" t="s">
        <v>1473</v>
      </c>
      <c r="C41" s="244" t="s">
        <v>2882</v>
      </c>
      <c r="D41" s="245" t="s">
        <v>3330</v>
      </c>
      <c r="E41" s="244" t="s">
        <v>1082</v>
      </c>
      <c r="F41" s="256">
        <v>16</v>
      </c>
      <c r="G41" s="256">
        <v>4.63</v>
      </c>
      <c r="H41" s="256">
        <v>5.78</v>
      </c>
      <c r="J41" s="244">
        <v>39</v>
      </c>
      <c r="K41" s="245" t="str">
        <f t="shared" si="1"/>
        <v xml:space="preserve"> C2361 </v>
      </c>
      <c r="L41" s="245" t="str">
        <f t="shared" si="2"/>
        <v>TÊ PVC BRANCO P/ESGOTO D=75X50mm (3"X2")-JUNTAS C/ANÉIS</v>
      </c>
      <c r="M41" s="256">
        <f t="shared" si="3"/>
        <v>8</v>
      </c>
      <c r="N41" s="256">
        <f t="shared" si="4"/>
        <v>20.75</v>
      </c>
    </row>
    <row r="42" spans="1:14" ht="15" customHeight="1" x14ac:dyDescent="0.25">
      <c r="A42">
        <f t="shared" si="5"/>
        <v>10</v>
      </c>
      <c r="B42" s="244" t="s">
        <v>1473</v>
      </c>
      <c r="C42" s="244" t="s">
        <v>2882</v>
      </c>
      <c r="D42" s="245" t="s">
        <v>3330</v>
      </c>
      <c r="E42" s="244" t="s">
        <v>1082</v>
      </c>
      <c r="F42" s="256">
        <v>5</v>
      </c>
      <c r="G42" s="256">
        <v>4.63</v>
      </c>
      <c r="H42" s="256">
        <v>5.78</v>
      </c>
      <c r="J42" s="244">
        <v>40</v>
      </c>
      <c r="K42" s="245" t="str">
        <f t="shared" si="1"/>
        <v xml:space="preserve"> C2363 </v>
      </c>
      <c r="L42" s="245" t="str">
        <f t="shared" si="2"/>
        <v>TÊ PVC BRANCO P/ESGOTO D=75mm (3")-JUNTAS SOLD.</v>
      </c>
      <c r="M42" s="256">
        <f t="shared" si="3"/>
        <v>94</v>
      </c>
      <c r="N42" s="256">
        <f t="shared" si="4"/>
        <v>22.44</v>
      </c>
    </row>
    <row r="43" spans="1:14" ht="15" customHeight="1" x14ac:dyDescent="0.25">
      <c r="A43">
        <f t="shared" si="5"/>
        <v>10</v>
      </c>
      <c r="B43" s="244" t="s">
        <v>1473</v>
      </c>
      <c r="C43" s="244" t="s">
        <v>2882</v>
      </c>
      <c r="D43" s="245" t="s">
        <v>3330</v>
      </c>
      <c r="E43" s="244" t="s">
        <v>1082</v>
      </c>
      <c r="F43" s="246">
        <v>128</v>
      </c>
      <c r="G43" s="246">
        <v>4.63</v>
      </c>
      <c r="H43" s="246">
        <v>5.78</v>
      </c>
      <c r="J43" s="244">
        <v>41</v>
      </c>
      <c r="K43" s="245" t="str">
        <f t="shared" si="1"/>
        <v xml:space="preserve"> C2379 </v>
      </c>
      <c r="L43" s="245" t="str">
        <f t="shared" si="2"/>
        <v>TÊ PVC SOLD./ROSCA AZUL D=25mmX25mmX3/4'</v>
      </c>
      <c r="M43" s="256">
        <f t="shared" si="3"/>
        <v>8</v>
      </c>
      <c r="N43" s="256">
        <f t="shared" si="4"/>
        <v>11.51</v>
      </c>
    </row>
    <row r="44" spans="1:14" ht="15" customHeight="1" x14ac:dyDescent="0.25">
      <c r="A44">
        <f t="shared" si="5"/>
        <v>10</v>
      </c>
      <c r="B44" s="244" t="s">
        <v>1473</v>
      </c>
      <c r="C44" s="244" t="s">
        <v>2882</v>
      </c>
      <c r="D44" s="245" t="s">
        <v>3330</v>
      </c>
      <c r="E44" s="244" t="s">
        <v>1082</v>
      </c>
      <c r="F44" s="246">
        <v>120</v>
      </c>
      <c r="G44" s="246">
        <v>4.63</v>
      </c>
      <c r="H44" s="246">
        <v>5.78</v>
      </c>
      <c r="J44" s="244">
        <v>42</v>
      </c>
      <c r="K44" s="245" t="str">
        <f t="shared" si="1"/>
        <v xml:space="preserve"> C2605 </v>
      </c>
      <c r="L44" s="245" t="str">
        <f t="shared" si="2"/>
        <v>TUBO PVC ROSC. BRANCO D= 1 1/4" (40mm)</v>
      </c>
      <c r="M44" s="256">
        <f t="shared" si="3"/>
        <v>27.28</v>
      </c>
      <c r="N44" s="256">
        <f t="shared" si="4"/>
        <v>23.39</v>
      </c>
    </row>
    <row r="45" spans="1:14" ht="15" customHeight="1" x14ac:dyDescent="0.25">
      <c r="A45">
        <f t="shared" si="5"/>
        <v>11</v>
      </c>
      <c r="B45" s="244" t="s">
        <v>1476</v>
      </c>
      <c r="C45" s="244" t="s">
        <v>2882</v>
      </c>
      <c r="D45" s="245" t="s">
        <v>3344</v>
      </c>
      <c r="E45" s="244" t="s">
        <v>1082</v>
      </c>
      <c r="F45" s="256">
        <v>85</v>
      </c>
      <c r="G45" s="256">
        <v>5.81</v>
      </c>
      <c r="H45" s="256">
        <v>7.26</v>
      </c>
      <c r="J45" s="244">
        <v>43</v>
      </c>
      <c r="K45" s="245" t="str">
        <f t="shared" si="1"/>
        <v xml:space="preserve"> CP-0042 </v>
      </c>
      <c r="L45" s="245" t="str">
        <f t="shared" si="2"/>
        <v>REDUÇÃO EXCÊNTRICA, PVC, SERIE R, ÁGUA PLUVIAL, DN 100 X 50 MM, JUNTA ELÁSTICA, FORNECIDO E INSTALADO</v>
      </c>
      <c r="M45" s="256">
        <f t="shared" si="3"/>
        <v>18</v>
      </c>
      <c r="N45" s="256">
        <f t="shared" si="4"/>
        <v>6.36</v>
      </c>
    </row>
    <row r="46" spans="1:14" ht="15" customHeight="1" x14ac:dyDescent="0.25">
      <c r="A46">
        <f t="shared" si="5"/>
        <v>11</v>
      </c>
      <c r="B46" s="244" t="s">
        <v>1476</v>
      </c>
      <c r="C46" s="244" t="s">
        <v>2882</v>
      </c>
      <c r="D46" s="245" t="s">
        <v>3344</v>
      </c>
      <c r="E46" s="244" t="s">
        <v>1082</v>
      </c>
      <c r="F46" s="256">
        <v>28</v>
      </c>
      <c r="G46" s="257">
        <v>5.81</v>
      </c>
      <c r="H46" s="257">
        <v>7.26</v>
      </c>
      <c r="J46" s="244">
        <v>44</v>
      </c>
      <c r="K46" s="245" t="str">
        <f t="shared" si="1"/>
        <v xml:space="preserve"> IE-0062 </v>
      </c>
      <c r="L46" s="245" t="str">
        <f t="shared" si="2"/>
        <v>Caixa sifonada redonda, corpo giratório, d=100x140x50mm, com grelha.</v>
      </c>
      <c r="M46" s="256">
        <f t="shared" si="3"/>
        <v>326</v>
      </c>
      <c r="N46" s="256">
        <f t="shared" si="4"/>
        <v>35.75</v>
      </c>
    </row>
    <row r="47" spans="1:14" ht="15" customHeight="1" x14ac:dyDescent="0.25">
      <c r="A47">
        <f t="shared" si="5"/>
        <v>11</v>
      </c>
      <c r="B47" s="244" t="s">
        <v>1476</v>
      </c>
      <c r="C47" s="244" t="s">
        <v>2882</v>
      </c>
      <c r="D47" s="259" t="s">
        <v>3344</v>
      </c>
      <c r="E47" s="244" t="s">
        <v>1082</v>
      </c>
      <c r="F47" s="256">
        <v>1</v>
      </c>
      <c r="G47" s="256">
        <v>5.81</v>
      </c>
      <c r="H47" s="256">
        <v>7.26</v>
      </c>
      <c r="J47" s="244">
        <v>45</v>
      </c>
      <c r="K47" s="245" t="str">
        <f t="shared" si="1"/>
        <v xml:space="preserve"> ORSE-06461 </v>
      </c>
      <c r="L47" s="245" t="str">
        <f t="shared" si="2"/>
        <v>Tê 90º Vinilfort para coletor Esgotos, Junta Elástica Integrada, DN 100 x 100mm</v>
      </c>
      <c r="M47" s="256">
        <f t="shared" si="3"/>
        <v>36</v>
      </c>
      <c r="N47" s="256">
        <f t="shared" si="4"/>
        <v>172.26</v>
      </c>
    </row>
    <row r="48" spans="1:14" ht="15" customHeight="1" x14ac:dyDescent="0.25">
      <c r="A48">
        <f t="shared" si="5"/>
        <v>11</v>
      </c>
      <c r="B48" s="244" t="s">
        <v>1476</v>
      </c>
      <c r="C48" s="244" t="s">
        <v>2882</v>
      </c>
      <c r="D48" s="245" t="s">
        <v>3344</v>
      </c>
      <c r="E48" s="244" t="s">
        <v>1082</v>
      </c>
      <c r="F48" s="256">
        <v>39</v>
      </c>
      <c r="G48" s="256">
        <v>5.81</v>
      </c>
      <c r="H48" s="256">
        <v>7.26</v>
      </c>
      <c r="J48" s="244">
        <v>46</v>
      </c>
      <c r="K48" s="245" t="str">
        <f t="shared" si="1"/>
        <v xml:space="preserve"> ORSE-07615 </v>
      </c>
      <c r="L48" s="245" t="str">
        <f t="shared" si="2"/>
        <v>Caixa sifonada redonda, corpo giratório, com 5 entradas de 40mm e 1 saida de 75mm, d=150x170x75mm, com grelha, Pvc branco, Tigre ou similar</v>
      </c>
      <c r="M48" s="256">
        <f t="shared" si="3"/>
        <v>7</v>
      </c>
      <c r="N48" s="256">
        <f t="shared" si="4"/>
        <v>37.78</v>
      </c>
    </row>
    <row r="49" spans="1:8" ht="15" customHeight="1" x14ac:dyDescent="0.25">
      <c r="A49">
        <f t="shared" si="5"/>
        <v>11</v>
      </c>
      <c r="B49" s="244" t="s">
        <v>1476</v>
      </c>
      <c r="C49" s="244" t="s">
        <v>2882</v>
      </c>
      <c r="D49" s="245" t="s">
        <v>3344</v>
      </c>
      <c r="E49" s="244" t="s">
        <v>1082</v>
      </c>
      <c r="F49" s="256">
        <v>13</v>
      </c>
      <c r="G49" s="256">
        <v>5.81</v>
      </c>
      <c r="H49" s="256">
        <v>7.26</v>
      </c>
    </row>
    <row r="50" spans="1:8" ht="15" customHeight="1" x14ac:dyDescent="0.25">
      <c r="A50">
        <f t="shared" si="5"/>
        <v>11</v>
      </c>
      <c r="B50" s="244" t="s">
        <v>1476</v>
      </c>
      <c r="C50" s="244" t="s">
        <v>2882</v>
      </c>
      <c r="D50" s="245" t="s">
        <v>3344</v>
      </c>
      <c r="E50" s="244" t="s">
        <v>1082</v>
      </c>
      <c r="F50" s="256">
        <v>12</v>
      </c>
      <c r="G50" s="256">
        <v>5.81</v>
      </c>
      <c r="H50" s="256">
        <v>7.26</v>
      </c>
    </row>
    <row r="51" spans="1:8" ht="15" customHeight="1" x14ac:dyDescent="0.25">
      <c r="A51">
        <f t="shared" si="5"/>
        <v>11</v>
      </c>
      <c r="B51" s="244" t="s">
        <v>1476</v>
      </c>
      <c r="C51" s="244" t="s">
        <v>2882</v>
      </c>
      <c r="D51" s="245" t="s">
        <v>3344</v>
      </c>
      <c r="E51" s="244" t="s">
        <v>1082</v>
      </c>
      <c r="F51" s="246">
        <v>13</v>
      </c>
      <c r="G51" s="246">
        <v>5.81</v>
      </c>
      <c r="H51" s="246">
        <v>7.26</v>
      </c>
    </row>
    <row r="52" spans="1:8" ht="15" customHeight="1" x14ac:dyDescent="0.25">
      <c r="A52">
        <f t="shared" si="5"/>
        <v>11</v>
      </c>
      <c r="B52" s="244" t="s">
        <v>1476</v>
      </c>
      <c r="C52" s="244" t="s">
        <v>2882</v>
      </c>
      <c r="D52" s="245" t="s">
        <v>3344</v>
      </c>
      <c r="E52" s="244" t="s">
        <v>1082</v>
      </c>
      <c r="F52" s="246">
        <v>8</v>
      </c>
      <c r="G52" s="246">
        <v>5.81</v>
      </c>
      <c r="H52" s="246">
        <v>7.26</v>
      </c>
    </row>
    <row r="53" spans="1:8" ht="15" customHeight="1" x14ac:dyDescent="0.25">
      <c r="A53">
        <f t="shared" si="5"/>
        <v>12</v>
      </c>
      <c r="B53" s="244" t="s">
        <v>1479</v>
      </c>
      <c r="C53" s="244" t="s">
        <v>2882</v>
      </c>
      <c r="D53" s="245" t="s">
        <v>3334</v>
      </c>
      <c r="E53" s="244" t="s">
        <v>1082</v>
      </c>
      <c r="F53" s="256">
        <v>1</v>
      </c>
      <c r="G53" s="256">
        <v>6.22</v>
      </c>
      <c r="H53" s="256">
        <v>7.77</v>
      </c>
    </row>
    <row r="54" spans="1:8" ht="15" customHeight="1" x14ac:dyDescent="0.25">
      <c r="A54">
        <f t="shared" si="5"/>
        <v>12</v>
      </c>
      <c r="B54" s="244" t="s">
        <v>1479</v>
      </c>
      <c r="C54" s="244" t="s">
        <v>2882</v>
      </c>
      <c r="D54" s="245" t="s">
        <v>3334</v>
      </c>
      <c r="E54" s="244" t="s">
        <v>1082</v>
      </c>
      <c r="F54" s="256">
        <v>1</v>
      </c>
      <c r="G54" s="256">
        <v>6.22</v>
      </c>
      <c r="H54" s="256">
        <v>7.77</v>
      </c>
    </row>
    <row r="55" spans="1:8" ht="15" customHeight="1" x14ac:dyDescent="0.25">
      <c r="A55">
        <f t="shared" si="5"/>
        <v>12</v>
      </c>
      <c r="B55" s="244" t="s">
        <v>1479</v>
      </c>
      <c r="C55" s="244" t="s">
        <v>2882</v>
      </c>
      <c r="D55" s="245" t="s">
        <v>3334</v>
      </c>
      <c r="E55" s="244" t="s">
        <v>1082</v>
      </c>
      <c r="F55" s="256">
        <v>1</v>
      </c>
      <c r="G55" s="256">
        <v>6.22</v>
      </c>
      <c r="H55" s="256">
        <v>7.77</v>
      </c>
    </row>
    <row r="56" spans="1:8" ht="15" customHeight="1" x14ac:dyDescent="0.25">
      <c r="A56">
        <f t="shared" si="5"/>
        <v>12</v>
      </c>
      <c r="B56" s="244" t="s">
        <v>1479</v>
      </c>
      <c r="C56" s="244" t="s">
        <v>2882</v>
      </c>
      <c r="D56" s="245" t="s">
        <v>3334</v>
      </c>
      <c r="E56" s="244" t="s">
        <v>1082</v>
      </c>
      <c r="F56" s="246">
        <v>16</v>
      </c>
      <c r="G56" s="246">
        <v>6.22</v>
      </c>
      <c r="H56" s="246">
        <v>7.77</v>
      </c>
    </row>
    <row r="57" spans="1:8" ht="15" customHeight="1" x14ac:dyDescent="0.25">
      <c r="A57">
        <f t="shared" si="5"/>
        <v>12</v>
      </c>
      <c r="B57" s="244" t="s">
        <v>1479</v>
      </c>
      <c r="C57" s="244" t="s">
        <v>2882</v>
      </c>
      <c r="D57" s="245" t="s">
        <v>3334</v>
      </c>
      <c r="E57" s="244" t="s">
        <v>1082</v>
      </c>
      <c r="F57" s="246">
        <v>14</v>
      </c>
      <c r="G57" s="246">
        <v>6.22</v>
      </c>
      <c r="H57" s="246">
        <v>7.77</v>
      </c>
    </row>
    <row r="58" spans="1:8" ht="15" customHeight="1" x14ac:dyDescent="0.25">
      <c r="A58">
        <f t="shared" si="5"/>
        <v>13</v>
      </c>
      <c r="B58" s="244" t="s">
        <v>1482</v>
      </c>
      <c r="C58" s="244" t="s">
        <v>2882</v>
      </c>
      <c r="D58" s="245" t="s">
        <v>3348</v>
      </c>
      <c r="E58" s="244" t="s">
        <v>1082</v>
      </c>
      <c r="F58" s="256">
        <v>43</v>
      </c>
      <c r="G58" s="256">
        <v>9.86</v>
      </c>
      <c r="H58" s="256">
        <v>12.32</v>
      </c>
    </row>
    <row r="59" spans="1:8" ht="15" customHeight="1" x14ac:dyDescent="0.25">
      <c r="A59">
        <f t="shared" si="5"/>
        <v>13</v>
      </c>
      <c r="B59" s="244" t="s">
        <v>1482</v>
      </c>
      <c r="C59" s="244" t="s">
        <v>2882</v>
      </c>
      <c r="D59" s="259" t="s">
        <v>3348</v>
      </c>
      <c r="E59" s="244" t="s">
        <v>1082</v>
      </c>
      <c r="F59" s="256">
        <v>40</v>
      </c>
      <c r="G59" s="256">
        <v>9.86</v>
      </c>
      <c r="H59" s="256">
        <v>12.32</v>
      </c>
    </row>
    <row r="60" spans="1:8" ht="15" customHeight="1" x14ac:dyDescent="0.25">
      <c r="A60">
        <f t="shared" si="5"/>
        <v>13</v>
      </c>
      <c r="B60" s="244" t="s">
        <v>1482</v>
      </c>
      <c r="C60" s="244" t="s">
        <v>2882</v>
      </c>
      <c r="D60" s="245" t="s">
        <v>3348</v>
      </c>
      <c r="E60" s="244" t="s">
        <v>1082</v>
      </c>
      <c r="F60" s="256">
        <v>12</v>
      </c>
      <c r="G60" s="256">
        <v>9.86</v>
      </c>
      <c r="H60" s="256">
        <v>12.32</v>
      </c>
    </row>
    <row r="61" spans="1:8" ht="15" customHeight="1" x14ac:dyDescent="0.25">
      <c r="A61">
        <f t="shared" si="5"/>
        <v>13</v>
      </c>
      <c r="B61" s="244" t="s">
        <v>1482</v>
      </c>
      <c r="C61" s="244" t="s">
        <v>2882</v>
      </c>
      <c r="D61" s="245" t="s">
        <v>3348</v>
      </c>
      <c r="E61" s="244" t="s">
        <v>1082</v>
      </c>
      <c r="F61" s="256">
        <v>9</v>
      </c>
      <c r="G61" s="256">
        <v>9.86</v>
      </c>
      <c r="H61" s="256">
        <v>12.32</v>
      </c>
    </row>
    <row r="62" spans="1:8" ht="15" customHeight="1" x14ac:dyDescent="0.25">
      <c r="A62">
        <f t="shared" si="5"/>
        <v>13</v>
      </c>
      <c r="B62" s="244" t="s">
        <v>1482</v>
      </c>
      <c r="C62" s="244" t="s">
        <v>2882</v>
      </c>
      <c r="D62" s="245" t="s">
        <v>3348</v>
      </c>
      <c r="E62" s="244" t="s">
        <v>1082</v>
      </c>
      <c r="F62" s="246">
        <v>63</v>
      </c>
      <c r="G62" s="246">
        <v>9.86</v>
      </c>
      <c r="H62" s="246">
        <v>12.32</v>
      </c>
    </row>
    <row r="63" spans="1:8" ht="15" customHeight="1" x14ac:dyDescent="0.25">
      <c r="A63">
        <f t="shared" si="5"/>
        <v>13</v>
      </c>
      <c r="B63" s="244" t="s">
        <v>1482</v>
      </c>
      <c r="C63" s="244" t="s">
        <v>2882</v>
      </c>
      <c r="D63" s="245" t="s">
        <v>3348</v>
      </c>
      <c r="E63" s="244" t="s">
        <v>1082</v>
      </c>
      <c r="F63" s="246">
        <v>60</v>
      </c>
      <c r="G63" s="246">
        <v>9.86</v>
      </c>
      <c r="H63" s="246">
        <v>12.32</v>
      </c>
    </row>
    <row r="64" spans="1:8" ht="15" customHeight="1" x14ac:dyDescent="0.25">
      <c r="A64">
        <f t="shared" si="5"/>
        <v>14</v>
      </c>
      <c r="B64" s="244" t="s">
        <v>1485</v>
      </c>
      <c r="C64" s="244" t="s">
        <v>2882</v>
      </c>
      <c r="D64" s="245" t="s">
        <v>3332</v>
      </c>
      <c r="E64" s="244" t="s">
        <v>1082</v>
      </c>
      <c r="F64" s="256">
        <v>2</v>
      </c>
      <c r="G64" s="256">
        <v>10.4</v>
      </c>
      <c r="H64" s="256">
        <v>12.99</v>
      </c>
    </row>
    <row r="65" spans="1:8" ht="15" customHeight="1" x14ac:dyDescent="0.25">
      <c r="A65">
        <f t="shared" si="5"/>
        <v>15</v>
      </c>
      <c r="B65" s="244" t="s">
        <v>1488</v>
      </c>
      <c r="C65" s="244" t="s">
        <v>2882</v>
      </c>
      <c r="D65" s="245" t="s">
        <v>3346</v>
      </c>
      <c r="E65" s="244" t="s">
        <v>1082</v>
      </c>
      <c r="F65" s="256">
        <v>73</v>
      </c>
      <c r="G65" s="256">
        <v>13.19</v>
      </c>
      <c r="H65" s="256">
        <v>16.48</v>
      </c>
    </row>
    <row r="66" spans="1:8" ht="15" customHeight="1" x14ac:dyDescent="0.25">
      <c r="A66">
        <f t="shared" si="5"/>
        <v>15</v>
      </c>
      <c r="B66" s="244" t="s">
        <v>1488</v>
      </c>
      <c r="C66" s="244" t="s">
        <v>2882</v>
      </c>
      <c r="D66" s="245" t="s">
        <v>3346</v>
      </c>
      <c r="E66" s="244" t="s">
        <v>1082</v>
      </c>
      <c r="F66" s="256">
        <v>5</v>
      </c>
      <c r="G66" s="257">
        <v>13.19</v>
      </c>
      <c r="H66" s="257">
        <v>16.48</v>
      </c>
    </row>
    <row r="67" spans="1:8" ht="15" customHeight="1" x14ac:dyDescent="0.25">
      <c r="A67">
        <f t="shared" si="5"/>
        <v>15</v>
      </c>
      <c r="B67" s="244" t="s">
        <v>1488</v>
      </c>
      <c r="C67" s="244" t="s">
        <v>2882</v>
      </c>
      <c r="D67" s="259" t="s">
        <v>3346</v>
      </c>
      <c r="E67" s="244" t="s">
        <v>1082</v>
      </c>
      <c r="F67" s="256">
        <v>32</v>
      </c>
      <c r="G67" s="256">
        <v>13.19</v>
      </c>
      <c r="H67" s="256">
        <v>16.48</v>
      </c>
    </row>
    <row r="68" spans="1:8" ht="15" customHeight="1" x14ac:dyDescent="0.25">
      <c r="A68">
        <f t="shared" si="5"/>
        <v>15</v>
      </c>
      <c r="B68" s="244" t="s">
        <v>1488</v>
      </c>
      <c r="C68" s="244" t="s">
        <v>2882</v>
      </c>
      <c r="D68" s="245" t="s">
        <v>3346</v>
      </c>
      <c r="E68" s="244" t="s">
        <v>1082</v>
      </c>
      <c r="F68" s="256">
        <v>16</v>
      </c>
      <c r="G68" s="256">
        <v>13.19</v>
      </c>
      <c r="H68" s="256">
        <v>16.48</v>
      </c>
    </row>
    <row r="69" spans="1:8" ht="15" customHeight="1" x14ac:dyDescent="0.25">
      <c r="A69">
        <f t="shared" si="5"/>
        <v>15</v>
      </c>
      <c r="B69" s="244" t="s">
        <v>1488</v>
      </c>
      <c r="C69" s="244" t="s">
        <v>2882</v>
      </c>
      <c r="D69" s="245" t="s">
        <v>3346</v>
      </c>
      <c r="E69" s="244" t="s">
        <v>1082</v>
      </c>
      <c r="F69" s="256">
        <v>18</v>
      </c>
      <c r="G69" s="256">
        <v>13.19</v>
      </c>
      <c r="H69" s="256">
        <v>16.48</v>
      </c>
    </row>
    <row r="70" spans="1:8" ht="15" customHeight="1" x14ac:dyDescent="0.25">
      <c r="A70">
        <f t="shared" si="5"/>
        <v>15</v>
      </c>
      <c r="B70" s="244" t="s">
        <v>1488</v>
      </c>
      <c r="C70" s="244" t="s">
        <v>2882</v>
      </c>
      <c r="D70" s="245" t="s">
        <v>3346</v>
      </c>
      <c r="E70" s="244" t="s">
        <v>1082</v>
      </c>
      <c r="F70" s="256">
        <v>6</v>
      </c>
      <c r="G70" s="256">
        <v>13.19</v>
      </c>
      <c r="H70" s="256">
        <v>16.48</v>
      </c>
    </row>
    <row r="71" spans="1:8" ht="15" customHeight="1" x14ac:dyDescent="0.25">
      <c r="A71">
        <f t="shared" si="5"/>
        <v>15</v>
      </c>
      <c r="B71" s="244" t="s">
        <v>1488</v>
      </c>
      <c r="C71" s="244" t="s">
        <v>2882</v>
      </c>
      <c r="D71" s="245" t="s">
        <v>3346</v>
      </c>
      <c r="E71" s="244" t="s">
        <v>1082</v>
      </c>
      <c r="F71" s="246">
        <v>50</v>
      </c>
      <c r="G71" s="246">
        <v>13.19</v>
      </c>
      <c r="H71" s="246">
        <v>16.48</v>
      </c>
    </row>
    <row r="72" spans="1:8" ht="15" customHeight="1" x14ac:dyDescent="0.25">
      <c r="A72">
        <f t="shared" si="5"/>
        <v>15</v>
      </c>
      <c r="B72" s="244" t="s">
        <v>1488</v>
      </c>
      <c r="C72" s="244" t="s">
        <v>2882</v>
      </c>
      <c r="D72" s="245" t="s">
        <v>3346</v>
      </c>
      <c r="E72" s="244" t="s">
        <v>1082</v>
      </c>
      <c r="F72" s="246">
        <v>74</v>
      </c>
      <c r="G72" s="246">
        <v>13.19</v>
      </c>
      <c r="H72" s="246">
        <v>16.48</v>
      </c>
    </row>
    <row r="73" spans="1:8" ht="15" customHeight="1" x14ac:dyDescent="0.25">
      <c r="A73">
        <f t="shared" si="5"/>
        <v>16</v>
      </c>
      <c r="B73" s="244" t="s">
        <v>1491</v>
      </c>
      <c r="C73" s="244" t="s">
        <v>2882</v>
      </c>
      <c r="D73" s="245" t="s">
        <v>3336</v>
      </c>
      <c r="E73" s="244" t="s">
        <v>1082</v>
      </c>
      <c r="F73" s="256">
        <v>1</v>
      </c>
      <c r="G73" s="256">
        <v>12.82</v>
      </c>
      <c r="H73" s="256">
        <v>16.02</v>
      </c>
    </row>
    <row r="74" spans="1:8" ht="15" customHeight="1" x14ac:dyDescent="0.25">
      <c r="A74">
        <f t="shared" si="5"/>
        <v>16</v>
      </c>
      <c r="B74" s="244" t="s">
        <v>1491</v>
      </c>
      <c r="C74" s="244" t="s">
        <v>2882</v>
      </c>
      <c r="D74" s="245" t="s">
        <v>3336</v>
      </c>
      <c r="E74" s="244" t="s">
        <v>1082</v>
      </c>
      <c r="F74" s="246">
        <v>38</v>
      </c>
      <c r="G74" s="246">
        <v>12.82</v>
      </c>
      <c r="H74" s="246">
        <v>16.02</v>
      </c>
    </row>
    <row r="75" spans="1:8" ht="15" customHeight="1" x14ac:dyDescent="0.25">
      <c r="A75">
        <f t="shared" ref="A75:A138" si="6">IF(B75=B74,A74,A74+1)</f>
        <v>16</v>
      </c>
      <c r="B75" s="244" t="s">
        <v>1491</v>
      </c>
      <c r="C75" s="244" t="s">
        <v>2882</v>
      </c>
      <c r="D75" s="245" t="s">
        <v>3336</v>
      </c>
      <c r="E75" s="244" t="s">
        <v>1082</v>
      </c>
      <c r="F75" s="246">
        <v>37</v>
      </c>
      <c r="G75" s="246">
        <v>12.82</v>
      </c>
      <c r="H75" s="246">
        <v>16.02</v>
      </c>
    </row>
    <row r="76" spans="1:8" ht="15" customHeight="1" x14ac:dyDescent="0.25">
      <c r="A76">
        <f t="shared" si="6"/>
        <v>17</v>
      </c>
      <c r="B76" s="244" t="s">
        <v>1494</v>
      </c>
      <c r="C76" s="244" t="s">
        <v>2882</v>
      </c>
      <c r="D76" s="245" t="s">
        <v>3438</v>
      </c>
      <c r="E76" s="244" t="s">
        <v>1082</v>
      </c>
      <c r="F76" s="246">
        <v>8</v>
      </c>
      <c r="G76" s="246">
        <v>8.4</v>
      </c>
      <c r="H76" s="246">
        <v>10.49</v>
      </c>
    </row>
    <row r="77" spans="1:8" ht="15" customHeight="1" x14ac:dyDescent="0.25">
      <c r="A77">
        <f t="shared" si="6"/>
        <v>18</v>
      </c>
      <c r="B77" s="244" t="s">
        <v>1497</v>
      </c>
      <c r="C77" s="244" t="s">
        <v>2882</v>
      </c>
      <c r="D77" s="245" t="s">
        <v>3436</v>
      </c>
      <c r="E77" s="244" t="s">
        <v>1082</v>
      </c>
      <c r="F77" s="246">
        <v>7</v>
      </c>
      <c r="G77" s="246">
        <v>10.52</v>
      </c>
      <c r="H77" s="246">
        <v>13.14</v>
      </c>
    </row>
    <row r="78" spans="1:8" ht="15" customHeight="1" x14ac:dyDescent="0.25">
      <c r="A78">
        <f t="shared" si="6"/>
        <v>18</v>
      </c>
      <c r="B78" s="244" t="s">
        <v>1497</v>
      </c>
      <c r="C78" s="244" t="s">
        <v>2882</v>
      </c>
      <c r="D78" s="245" t="s">
        <v>3436</v>
      </c>
      <c r="E78" s="244" t="s">
        <v>1082</v>
      </c>
      <c r="F78" s="246">
        <v>1</v>
      </c>
      <c r="G78" s="246">
        <v>10.52</v>
      </c>
      <c r="H78" s="246">
        <v>13.14</v>
      </c>
    </row>
    <row r="79" spans="1:8" ht="15" customHeight="1" x14ac:dyDescent="0.25">
      <c r="A79">
        <f t="shared" si="6"/>
        <v>19</v>
      </c>
      <c r="B79" s="244" t="s">
        <v>1500</v>
      </c>
      <c r="C79" s="244" t="s">
        <v>2882</v>
      </c>
      <c r="D79" s="245" t="s">
        <v>3366</v>
      </c>
      <c r="E79" s="244" t="s">
        <v>1082</v>
      </c>
      <c r="F79" s="256">
        <v>6</v>
      </c>
      <c r="G79" s="256">
        <v>10.85</v>
      </c>
      <c r="H79" s="256">
        <v>13.55</v>
      </c>
    </row>
    <row r="80" spans="1:8" ht="15" customHeight="1" x14ac:dyDescent="0.25">
      <c r="A80">
        <f t="shared" si="6"/>
        <v>19</v>
      </c>
      <c r="B80" s="244" t="s">
        <v>1500</v>
      </c>
      <c r="C80" s="244" t="s">
        <v>2882</v>
      </c>
      <c r="D80" s="245" t="s">
        <v>3366</v>
      </c>
      <c r="E80" s="244" t="s">
        <v>1082</v>
      </c>
      <c r="F80" s="256">
        <v>5</v>
      </c>
      <c r="G80" s="257">
        <v>10.85</v>
      </c>
      <c r="H80" s="257">
        <v>13.55</v>
      </c>
    </row>
    <row r="81" spans="1:8" ht="15" customHeight="1" x14ac:dyDescent="0.25">
      <c r="A81">
        <f t="shared" si="6"/>
        <v>19</v>
      </c>
      <c r="B81" s="244" t="s">
        <v>1500</v>
      </c>
      <c r="C81" s="244" t="s">
        <v>2882</v>
      </c>
      <c r="D81" s="259" t="s">
        <v>3366</v>
      </c>
      <c r="E81" s="244" t="s">
        <v>1082</v>
      </c>
      <c r="F81" s="256">
        <v>1</v>
      </c>
      <c r="G81" s="256">
        <v>10.85</v>
      </c>
      <c r="H81" s="256">
        <v>13.55</v>
      </c>
    </row>
    <row r="82" spans="1:8" ht="15" customHeight="1" x14ac:dyDescent="0.25">
      <c r="A82">
        <f t="shared" si="6"/>
        <v>19</v>
      </c>
      <c r="B82" s="244" t="s">
        <v>1500</v>
      </c>
      <c r="C82" s="244" t="s">
        <v>2882</v>
      </c>
      <c r="D82" s="245" t="s">
        <v>3366</v>
      </c>
      <c r="E82" s="244" t="s">
        <v>1082</v>
      </c>
      <c r="F82" s="256">
        <v>7</v>
      </c>
      <c r="G82" s="256">
        <v>10.85</v>
      </c>
      <c r="H82" s="256">
        <v>13.55</v>
      </c>
    </row>
    <row r="83" spans="1:8" ht="15" customHeight="1" x14ac:dyDescent="0.25">
      <c r="A83">
        <f t="shared" si="6"/>
        <v>19</v>
      </c>
      <c r="B83" s="244" t="s">
        <v>1500</v>
      </c>
      <c r="C83" s="244" t="s">
        <v>2882</v>
      </c>
      <c r="D83" s="245" t="s">
        <v>3366</v>
      </c>
      <c r="E83" s="244" t="s">
        <v>1082</v>
      </c>
      <c r="F83" s="256">
        <v>1</v>
      </c>
      <c r="G83" s="256">
        <v>10.85</v>
      </c>
      <c r="H83" s="256">
        <v>13.55</v>
      </c>
    </row>
    <row r="84" spans="1:8" ht="15" customHeight="1" x14ac:dyDescent="0.25">
      <c r="A84">
        <f t="shared" si="6"/>
        <v>19</v>
      </c>
      <c r="B84" s="244" t="s">
        <v>1500</v>
      </c>
      <c r="C84" s="244" t="s">
        <v>2882</v>
      </c>
      <c r="D84" s="245" t="s">
        <v>3366</v>
      </c>
      <c r="E84" s="244" t="s">
        <v>1082</v>
      </c>
      <c r="F84" s="246">
        <v>6</v>
      </c>
      <c r="G84" s="246">
        <v>10.85</v>
      </c>
      <c r="H84" s="246">
        <v>13.55</v>
      </c>
    </row>
    <row r="85" spans="1:8" ht="15" customHeight="1" x14ac:dyDescent="0.25">
      <c r="A85">
        <f t="shared" si="6"/>
        <v>19</v>
      </c>
      <c r="B85" s="244" t="s">
        <v>1500</v>
      </c>
      <c r="C85" s="244" t="s">
        <v>2882</v>
      </c>
      <c r="D85" s="245" t="s">
        <v>3366</v>
      </c>
      <c r="E85" s="244" t="s">
        <v>1082</v>
      </c>
      <c r="F85" s="246">
        <v>5</v>
      </c>
      <c r="G85" s="246">
        <v>10.85</v>
      </c>
      <c r="H85" s="246">
        <v>13.55</v>
      </c>
    </row>
    <row r="86" spans="1:8" ht="15" customHeight="1" x14ac:dyDescent="0.25">
      <c r="A86">
        <f t="shared" si="6"/>
        <v>20</v>
      </c>
      <c r="B86" s="244" t="s">
        <v>1503</v>
      </c>
      <c r="C86" s="244" t="s">
        <v>2882</v>
      </c>
      <c r="D86" s="245" t="s">
        <v>3362</v>
      </c>
      <c r="E86" s="244" t="s">
        <v>1082</v>
      </c>
      <c r="F86" s="256">
        <v>1</v>
      </c>
      <c r="G86" s="256">
        <v>18.21</v>
      </c>
      <c r="H86" s="256">
        <v>22.75</v>
      </c>
    </row>
    <row r="87" spans="1:8" ht="15" customHeight="1" x14ac:dyDescent="0.25">
      <c r="A87">
        <f t="shared" si="6"/>
        <v>21</v>
      </c>
      <c r="B87" s="244" t="s">
        <v>1506</v>
      </c>
      <c r="C87" s="244" t="s">
        <v>2882</v>
      </c>
      <c r="D87" s="245" t="s">
        <v>3356</v>
      </c>
      <c r="E87" s="244" t="s">
        <v>1082</v>
      </c>
      <c r="F87" s="256">
        <v>32</v>
      </c>
      <c r="G87" s="256">
        <v>24.11</v>
      </c>
      <c r="H87" s="256">
        <v>30.12</v>
      </c>
    </row>
    <row r="88" spans="1:8" ht="15" customHeight="1" x14ac:dyDescent="0.25">
      <c r="A88">
        <f t="shared" si="6"/>
        <v>21</v>
      </c>
      <c r="B88" s="244" t="s">
        <v>1506</v>
      </c>
      <c r="C88" s="244" t="s">
        <v>2882</v>
      </c>
      <c r="D88" s="259" t="s">
        <v>3356</v>
      </c>
      <c r="E88" s="244" t="s">
        <v>1082</v>
      </c>
      <c r="F88" s="256">
        <v>17</v>
      </c>
      <c r="G88" s="256">
        <v>24.11</v>
      </c>
      <c r="H88" s="256">
        <v>30.12</v>
      </c>
    </row>
    <row r="89" spans="1:8" ht="15" customHeight="1" x14ac:dyDescent="0.25">
      <c r="A89">
        <f t="shared" si="6"/>
        <v>21</v>
      </c>
      <c r="B89" s="244" t="s">
        <v>1506</v>
      </c>
      <c r="C89" s="244" t="s">
        <v>2882</v>
      </c>
      <c r="D89" s="245" t="s">
        <v>3356</v>
      </c>
      <c r="E89" s="244" t="s">
        <v>1082</v>
      </c>
      <c r="F89" s="256">
        <v>8</v>
      </c>
      <c r="G89" s="256">
        <v>24.11</v>
      </c>
      <c r="H89" s="256">
        <v>30.12</v>
      </c>
    </row>
    <row r="90" spans="1:8" ht="15" customHeight="1" x14ac:dyDescent="0.25">
      <c r="A90">
        <f t="shared" si="6"/>
        <v>21</v>
      </c>
      <c r="B90" s="244" t="s">
        <v>1506</v>
      </c>
      <c r="C90" s="244" t="s">
        <v>2882</v>
      </c>
      <c r="D90" s="245" t="s">
        <v>3356</v>
      </c>
      <c r="E90" s="244" t="s">
        <v>1082</v>
      </c>
      <c r="F90" s="256">
        <v>12</v>
      </c>
      <c r="G90" s="256">
        <v>24.11</v>
      </c>
      <c r="H90" s="256">
        <v>30.12</v>
      </c>
    </row>
    <row r="91" spans="1:8" ht="15" customHeight="1" x14ac:dyDescent="0.25">
      <c r="A91">
        <f t="shared" si="6"/>
        <v>21</v>
      </c>
      <c r="B91" s="244" t="s">
        <v>1506</v>
      </c>
      <c r="C91" s="244" t="s">
        <v>2882</v>
      </c>
      <c r="D91" s="245" t="s">
        <v>3356</v>
      </c>
      <c r="E91" s="244" t="s">
        <v>1082</v>
      </c>
      <c r="F91" s="246">
        <v>14</v>
      </c>
      <c r="G91" s="246">
        <v>24.11</v>
      </c>
      <c r="H91" s="246">
        <v>30.12</v>
      </c>
    </row>
    <row r="92" spans="1:8" ht="15" customHeight="1" x14ac:dyDescent="0.25">
      <c r="A92">
        <f t="shared" si="6"/>
        <v>21</v>
      </c>
      <c r="B92" s="244" t="s">
        <v>1506</v>
      </c>
      <c r="C92" s="244" t="s">
        <v>2882</v>
      </c>
      <c r="D92" s="245" t="s">
        <v>3356</v>
      </c>
      <c r="E92" s="244" t="s">
        <v>1082</v>
      </c>
      <c r="F92" s="246">
        <v>7</v>
      </c>
      <c r="G92" s="246">
        <v>24.11</v>
      </c>
      <c r="H92" s="246">
        <v>30.12</v>
      </c>
    </row>
    <row r="93" spans="1:8" ht="15" customHeight="1" x14ac:dyDescent="0.25">
      <c r="A93">
        <f t="shared" si="6"/>
        <v>22</v>
      </c>
      <c r="B93" s="244" t="s">
        <v>1509</v>
      </c>
      <c r="C93" s="244" t="s">
        <v>2882</v>
      </c>
      <c r="D93" s="245" t="s">
        <v>3407</v>
      </c>
      <c r="E93" s="244" t="s">
        <v>1082</v>
      </c>
      <c r="F93" s="256">
        <v>1</v>
      </c>
      <c r="G93" s="256">
        <v>59.79</v>
      </c>
      <c r="H93" s="256">
        <v>74.7</v>
      </c>
    </row>
    <row r="94" spans="1:8" ht="15" customHeight="1" x14ac:dyDescent="0.25">
      <c r="A94">
        <f t="shared" si="6"/>
        <v>23</v>
      </c>
      <c r="B94" s="244" t="s">
        <v>1512</v>
      </c>
      <c r="C94" s="244" t="s">
        <v>2882</v>
      </c>
      <c r="D94" s="245" t="s">
        <v>3299</v>
      </c>
      <c r="E94" s="244" t="s">
        <v>473</v>
      </c>
      <c r="F94" s="256">
        <v>229.53</v>
      </c>
      <c r="G94" s="256">
        <v>31.17</v>
      </c>
      <c r="H94" s="256">
        <v>38.94</v>
      </c>
    </row>
    <row r="95" spans="1:8" ht="15" customHeight="1" x14ac:dyDescent="0.25">
      <c r="A95">
        <f t="shared" si="6"/>
        <v>23</v>
      </c>
      <c r="B95" s="244" t="s">
        <v>1512</v>
      </c>
      <c r="C95" s="244" t="s">
        <v>2882</v>
      </c>
      <c r="D95" s="245" t="s">
        <v>3299</v>
      </c>
      <c r="E95" s="244" t="s">
        <v>473</v>
      </c>
      <c r="F95" s="256">
        <v>4.95</v>
      </c>
      <c r="G95" s="257">
        <v>31.17</v>
      </c>
      <c r="H95" s="257">
        <v>38.94</v>
      </c>
    </row>
    <row r="96" spans="1:8" ht="15" customHeight="1" x14ac:dyDescent="0.25">
      <c r="A96">
        <f t="shared" si="6"/>
        <v>23</v>
      </c>
      <c r="B96" s="244" t="s">
        <v>1512</v>
      </c>
      <c r="C96" s="244" t="s">
        <v>2882</v>
      </c>
      <c r="D96" s="259" t="s">
        <v>3299</v>
      </c>
      <c r="E96" s="244" t="s">
        <v>473</v>
      </c>
      <c r="F96" s="256">
        <v>73.7</v>
      </c>
      <c r="G96" s="256">
        <v>31.17</v>
      </c>
      <c r="H96" s="256">
        <v>38.94</v>
      </c>
    </row>
    <row r="97" spans="1:8" ht="15" customHeight="1" x14ac:dyDescent="0.25">
      <c r="A97">
        <f t="shared" si="6"/>
        <v>23</v>
      </c>
      <c r="B97" s="244" t="s">
        <v>1512</v>
      </c>
      <c r="C97" s="244" t="s">
        <v>2882</v>
      </c>
      <c r="D97" s="245" t="s">
        <v>3299</v>
      </c>
      <c r="E97" s="244" t="s">
        <v>473</v>
      </c>
      <c r="F97" s="256">
        <v>39.380000000000003</v>
      </c>
      <c r="G97" s="256">
        <v>31.17</v>
      </c>
      <c r="H97" s="256">
        <v>38.94</v>
      </c>
    </row>
    <row r="98" spans="1:8" ht="15" customHeight="1" x14ac:dyDescent="0.25">
      <c r="A98">
        <f t="shared" si="6"/>
        <v>23</v>
      </c>
      <c r="B98" s="244" t="s">
        <v>1512</v>
      </c>
      <c r="C98" s="244" t="s">
        <v>2882</v>
      </c>
      <c r="D98" s="245" t="s">
        <v>3299</v>
      </c>
      <c r="E98" s="244" t="s">
        <v>473</v>
      </c>
      <c r="F98" s="256">
        <v>22</v>
      </c>
      <c r="G98" s="256">
        <v>31.17</v>
      </c>
      <c r="H98" s="256">
        <v>38.94</v>
      </c>
    </row>
    <row r="99" spans="1:8" ht="15" customHeight="1" x14ac:dyDescent="0.25">
      <c r="A99">
        <f t="shared" si="6"/>
        <v>23</v>
      </c>
      <c r="B99" s="244" t="s">
        <v>1512</v>
      </c>
      <c r="C99" s="244" t="s">
        <v>2882</v>
      </c>
      <c r="D99" s="245" t="s">
        <v>3299</v>
      </c>
      <c r="E99" s="244" t="s">
        <v>473</v>
      </c>
      <c r="F99" s="256">
        <v>14.96</v>
      </c>
      <c r="G99" s="256">
        <v>31.17</v>
      </c>
      <c r="H99" s="256">
        <v>38.94</v>
      </c>
    </row>
    <row r="100" spans="1:8" ht="15" customHeight="1" x14ac:dyDescent="0.25">
      <c r="A100">
        <f t="shared" si="6"/>
        <v>23</v>
      </c>
      <c r="B100" s="244" t="s">
        <v>1512</v>
      </c>
      <c r="C100" s="244" t="s">
        <v>2882</v>
      </c>
      <c r="D100" s="245" t="s">
        <v>3299</v>
      </c>
      <c r="E100" s="244" t="s">
        <v>473</v>
      </c>
      <c r="F100" s="246">
        <v>163.52000000000001</v>
      </c>
      <c r="G100" s="246">
        <v>31.17</v>
      </c>
      <c r="H100" s="246">
        <v>38.94</v>
      </c>
    </row>
    <row r="101" spans="1:8" ht="15" customHeight="1" x14ac:dyDescent="0.25">
      <c r="A101">
        <f t="shared" si="6"/>
        <v>23</v>
      </c>
      <c r="B101" s="244" t="s">
        <v>1512</v>
      </c>
      <c r="C101" s="244" t="s">
        <v>2882</v>
      </c>
      <c r="D101" s="245" t="s">
        <v>3299</v>
      </c>
      <c r="E101" s="244" t="s">
        <v>473</v>
      </c>
      <c r="F101" s="246">
        <v>152.08000000000001</v>
      </c>
      <c r="G101" s="246">
        <v>31.17</v>
      </c>
      <c r="H101" s="246">
        <v>38.94</v>
      </c>
    </row>
    <row r="102" spans="1:8" ht="15" customHeight="1" x14ac:dyDescent="0.25">
      <c r="A102">
        <f t="shared" si="6"/>
        <v>24</v>
      </c>
      <c r="B102" s="244" t="s">
        <v>1515</v>
      </c>
      <c r="C102" s="244" t="s">
        <v>2882</v>
      </c>
      <c r="D102" s="245" t="s">
        <v>3301</v>
      </c>
      <c r="E102" s="244" t="s">
        <v>473</v>
      </c>
      <c r="F102" s="256">
        <v>401.37</v>
      </c>
      <c r="G102" s="256">
        <v>46.45</v>
      </c>
      <c r="H102" s="256">
        <v>58.03</v>
      </c>
    </row>
    <row r="103" spans="1:8" ht="15" customHeight="1" x14ac:dyDescent="0.25">
      <c r="A103">
        <f t="shared" si="6"/>
        <v>24</v>
      </c>
      <c r="B103" s="244" t="s">
        <v>1515</v>
      </c>
      <c r="C103" s="244" t="s">
        <v>2882</v>
      </c>
      <c r="D103" s="245" t="s">
        <v>3301</v>
      </c>
      <c r="E103" s="244" t="s">
        <v>473</v>
      </c>
      <c r="F103" s="256">
        <v>47.014000000000003</v>
      </c>
      <c r="G103" s="257">
        <v>46.45</v>
      </c>
      <c r="H103" s="257">
        <v>58.03</v>
      </c>
    </row>
    <row r="104" spans="1:8" ht="15" customHeight="1" x14ac:dyDescent="0.25">
      <c r="A104">
        <f t="shared" si="6"/>
        <v>24</v>
      </c>
      <c r="B104" s="244" t="s">
        <v>1515</v>
      </c>
      <c r="C104" s="244" t="s">
        <v>2882</v>
      </c>
      <c r="D104" s="259" t="s">
        <v>3301</v>
      </c>
      <c r="E104" s="244" t="s">
        <v>473</v>
      </c>
      <c r="F104" s="256">
        <v>75.900000000000006</v>
      </c>
      <c r="G104" s="256">
        <v>46.45</v>
      </c>
      <c r="H104" s="256">
        <v>58.03</v>
      </c>
    </row>
    <row r="105" spans="1:8" ht="15" customHeight="1" x14ac:dyDescent="0.25">
      <c r="A105">
        <f t="shared" si="6"/>
        <v>24</v>
      </c>
      <c r="B105" s="244" t="s">
        <v>1515</v>
      </c>
      <c r="C105" s="244" t="s">
        <v>2882</v>
      </c>
      <c r="D105" s="245" t="s">
        <v>3301</v>
      </c>
      <c r="E105" s="244" t="s">
        <v>473</v>
      </c>
      <c r="F105" s="256">
        <v>141.9</v>
      </c>
      <c r="G105" s="256">
        <v>46.45</v>
      </c>
      <c r="H105" s="256">
        <v>58.03</v>
      </c>
    </row>
    <row r="106" spans="1:8" ht="15" customHeight="1" x14ac:dyDescent="0.25">
      <c r="A106">
        <f t="shared" si="6"/>
        <v>24</v>
      </c>
      <c r="B106" s="244" t="s">
        <v>1515</v>
      </c>
      <c r="C106" s="244" t="s">
        <v>2882</v>
      </c>
      <c r="D106" s="245" t="s">
        <v>3301</v>
      </c>
      <c r="E106" s="244" t="s">
        <v>473</v>
      </c>
      <c r="F106" s="256">
        <v>21.84</v>
      </c>
      <c r="G106" s="256">
        <v>46.45</v>
      </c>
      <c r="H106" s="256">
        <v>58.03</v>
      </c>
    </row>
    <row r="107" spans="1:8" ht="15" customHeight="1" x14ac:dyDescent="0.25">
      <c r="A107">
        <f t="shared" si="6"/>
        <v>24</v>
      </c>
      <c r="B107" s="244" t="s">
        <v>1515</v>
      </c>
      <c r="C107" s="244" t="s">
        <v>2882</v>
      </c>
      <c r="D107" s="245" t="s">
        <v>3301</v>
      </c>
      <c r="E107" s="244" t="s">
        <v>473</v>
      </c>
      <c r="F107" s="256">
        <v>78.650000000000006</v>
      </c>
      <c r="G107" s="256">
        <v>46.45</v>
      </c>
      <c r="H107" s="256">
        <v>58.03</v>
      </c>
    </row>
    <row r="108" spans="1:8" ht="15" customHeight="1" x14ac:dyDescent="0.25">
      <c r="A108">
        <f t="shared" si="6"/>
        <v>24</v>
      </c>
      <c r="B108" s="244" t="s">
        <v>1515</v>
      </c>
      <c r="C108" s="244" t="s">
        <v>2882</v>
      </c>
      <c r="D108" s="245" t="s">
        <v>3301</v>
      </c>
      <c r="E108" s="244" t="s">
        <v>473</v>
      </c>
      <c r="F108" s="246">
        <v>189.5</v>
      </c>
      <c r="G108" s="246">
        <v>46.45</v>
      </c>
      <c r="H108" s="246">
        <v>58.03</v>
      </c>
    </row>
    <row r="109" spans="1:8" ht="15" customHeight="1" x14ac:dyDescent="0.25">
      <c r="A109">
        <f t="shared" si="6"/>
        <v>24</v>
      </c>
      <c r="B109" s="244" t="s">
        <v>1515</v>
      </c>
      <c r="C109" s="244" t="s">
        <v>2882</v>
      </c>
      <c r="D109" s="245" t="s">
        <v>3301</v>
      </c>
      <c r="E109" s="244" t="s">
        <v>473</v>
      </c>
      <c r="F109" s="246">
        <v>121.85</v>
      </c>
      <c r="G109" s="246">
        <v>46.45</v>
      </c>
      <c r="H109" s="246">
        <v>58.03</v>
      </c>
    </row>
    <row r="110" spans="1:8" ht="15" customHeight="1" x14ac:dyDescent="0.25">
      <c r="A110">
        <f t="shared" si="6"/>
        <v>25</v>
      </c>
      <c r="B110" s="244" t="s">
        <v>1518</v>
      </c>
      <c r="C110" s="244" t="s">
        <v>2882</v>
      </c>
      <c r="D110" s="245" t="s">
        <v>3303</v>
      </c>
      <c r="E110" s="244" t="s">
        <v>473</v>
      </c>
      <c r="F110" s="256">
        <v>389.53</v>
      </c>
      <c r="G110" s="256">
        <v>21.08</v>
      </c>
      <c r="H110" s="256">
        <v>26.34</v>
      </c>
    </row>
    <row r="111" spans="1:8" ht="15" customHeight="1" x14ac:dyDescent="0.25">
      <c r="A111">
        <f t="shared" si="6"/>
        <v>25</v>
      </c>
      <c r="B111" s="244" t="s">
        <v>1518</v>
      </c>
      <c r="C111" s="244" t="s">
        <v>2882</v>
      </c>
      <c r="D111" s="245" t="s">
        <v>3303</v>
      </c>
      <c r="E111" s="244" t="s">
        <v>473</v>
      </c>
      <c r="F111" s="256">
        <v>15.35</v>
      </c>
      <c r="G111" s="257">
        <v>21.08</v>
      </c>
      <c r="H111" s="257">
        <v>26.34</v>
      </c>
    </row>
    <row r="112" spans="1:8" ht="15" customHeight="1" x14ac:dyDescent="0.25">
      <c r="A112">
        <f t="shared" si="6"/>
        <v>25</v>
      </c>
      <c r="B112" s="244" t="s">
        <v>1518</v>
      </c>
      <c r="C112" s="244" t="s">
        <v>2882</v>
      </c>
      <c r="D112" s="259" t="s">
        <v>3303</v>
      </c>
      <c r="E112" s="244" t="s">
        <v>473</v>
      </c>
      <c r="F112" s="256">
        <v>202.4</v>
      </c>
      <c r="G112" s="256">
        <v>21.08</v>
      </c>
      <c r="H112" s="256">
        <v>26.34</v>
      </c>
    </row>
    <row r="113" spans="1:8" ht="15" customHeight="1" x14ac:dyDescent="0.25">
      <c r="A113">
        <f t="shared" si="6"/>
        <v>25</v>
      </c>
      <c r="B113" s="244" t="s">
        <v>1518</v>
      </c>
      <c r="C113" s="244" t="s">
        <v>2882</v>
      </c>
      <c r="D113" s="245" t="s">
        <v>3303</v>
      </c>
      <c r="E113" s="244" t="s">
        <v>473</v>
      </c>
      <c r="F113" s="256">
        <v>97.35</v>
      </c>
      <c r="G113" s="256">
        <v>21.08</v>
      </c>
      <c r="H113" s="256">
        <v>26.34</v>
      </c>
    </row>
    <row r="114" spans="1:8" ht="15" customHeight="1" x14ac:dyDescent="0.25">
      <c r="A114">
        <f t="shared" si="6"/>
        <v>25</v>
      </c>
      <c r="B114" s="244" t="s">
        <v>1518</v>
      </c>
      <c r="C114" s="244" t="s">
        <v>2882</v>
      </c>
      <c r="D114" s="245" t="s">
        <v>3303</v>
      </c>
      <c r="E114" s="244" t="s">
        <v>473</v>
      </c>
      <c r="F114" s="256">
        <v>80.739999999999995</v>
      </c>
      <c r="G114" s="256">
        <v>21.08</v>
      </c>
      <c r="H114" s="256">
        <v>26.34</v>
      </c>
    </row>
    <row r="115" spans="1:8" ht="15" customHeight="1" x14ac:dyDescent="0.25">
      <c r="A115">
        <f t="shared" si="6"/>
        <v>25</v>
      </c>
      <c r="B115" s="244" t="s">
        <v>1518</v>
      </c>
      <c r="C115" s="244" t="s">
        <v>2882</v>
      </c>
      <c r="D115" s="245" t="s">
        <v>3303</v>
      </c>
      <c r="E115" s="244" t="s">
        <v>473</v>
      </c>
      <c r="F115" s="246">
        <v>52.36</v>
      </c>
      <c r="G115" s="246">
        <v>21.08</v>
      </c>
      <c r="H115" s="246">
        <v>26.34</v>
      </c>
    </row>
    <row r="116" spans="1:8" ht="15" customHeight="1" x14ac:dyDescent="0.25">
      <c r="A116">
        <f t="shared" si="6"/>
        <v>25</v>
      </c>
      <c r="B116" s="244" t="s">
        <v>1518</v>
      </c>
      <c r="C116" s="244" t="s">
        <v>2882</v>
      </c>
      <c r="D116" s="245" t="s">
        <v>3303</v>
      </c>
      <c r="E116" s="244" t="s">
        <v>473</v>
      </c>
      <c r="F116" s="246">
        <v>11.72</v>
      </c>
      <c r="G116" s="246">
        <v>21.08</v>
      </c>
      <c r="H116" s="246">
        <v>26.34</v>
      </c>
    </row>
    <row r="117" spans="1:8" ht="15" customHeight="1" x14ac:dyDescent="0.25">
      <c r="A117">
        <f t="shared" si="6"/>
        <v>26</v>
      </c>
      <c r="B117" s="244" t="s">
        <v>1521</v>
      </c>
      <c r="C117" s="244" t="s">
        <v>2882</v>
      </c>
      <c r="D117" s="245" t="s">
        <v>3305</v>
      </c>
      <c r="E117" s="244" t="s">
        <v>473</v>
      </c>
      <c r="F117" s="256">
        <v>597.11</v>
      </c>
      <c r="G117" s="256">
        <v>36.130000000000003</v>
      </c>
      <c r="H117" s="256">
        <v>45.14</v>
      </c>
    </row>
    <row r="118" spans="1:8" ht="15" customHeight="1" x14ac:dyDescent="0.25">
      <c r="A118">
        <f t="shared" si="6"/>
        <v>26</v>
      </c>
      <c r="B118" s="244" t="s">
        <v>1521</v>
      </c>
      <c r="C118" s="244" t="s">
        <v>2882</v>
      </c>
      <c r="D118" s="245" t="s">
        <v>3305</v>
      </c>
      <c r="E118" s="244" t="s">
        <v>473</v>
      </c>
      <c r="F118" s="256">
        <v>122.44</v>
      </c>
      <c r="G118" s="257">
        <v>36.130000000000003</v>
      </c>
      <c r="H118" s="257">
        <v>45.14</v>
      </c>
    </row>
    <row r="119" spans="1:8" ht="15" customHeight="1" x14ac:dyDescent="0.25">
      <c r="A119">
        <f t="shared" si="6"/>
        <v>26</v>
      </c>
      <c r="B119" s="244" t="s">
        <v>1521</v>
      </c>
      <c r="C119" s="244" t="s">
        <v>2882</v>
      </c>
      <c r="D119" s="259" t="s">
        <v>3305</v>
      </c>
      <c r="E119" s="244" t="s">
        <v>473</v>
      </c>
      <c r="F119" s="256">
        <v>322.3</v>
      </c>
      <c r="G119" s="256">
        <v>36.130000000000003</v>
      </c>
      <c r="H119" s="256">
        <v>45.14</v>
      </c>
    </row>
    <row r="120" spans="1:8" ht="15" customHeight="1" x14ac:dyDescent="0.25">
      <c r="A120">
        <f t="shared" si="6"/>
        <v>26</v>
      </c>
      <c r="B120" s="244" t="s">
        <v>1521</v>
      </c>
      <c r="C120" s="244" t="s">
        <v>2882</v>
      </c>
      <c r="D120" s="245" t="s">
        <v>3305</v>
      </c>
      <c r="E120" s="244" t="s">
        <v>473</v>
      </c>
      <c r="F120" s="256">
        <v>128.47999999999999</v>
      </c>
      <c r="G120" s="256">
        <v>36.130000000000003</v>
      </c>
      <c r="H120" s="256">
        <v>45.14</v>
      </c>
    </row>
    <row r="121" spans="1:8" ht="15" customHeight="1" x14ac:dyDescent="0.25">
      <c r="A121">
        <f t="shared" si="6"/>
        <v>26</v>
      </c>
      <c r="B121" s="244" t="s">
        <v>1521</v>
      </c>
      <c r="C121" s="244" t="s">
        <v>2882</v>
      </c>
      <c r="D121" s="245" t="s">
        <v>3305</v>
      </c>
      <c r="E121" s="244" t="s">
        <v>473</v>
      </c>
      <c r="F121" s="256">
        <v>148.5</v>
      </c>
      <c r="G121" s="256">
        <v>36.130000000000003</v>
      </c>
      <c r="H121" s="256">
        <v>45.14</v>
      </c>
    </row>
    <row r="122" spans="1:8" ht="15" customHeight="1" x14ac:dyDescent="0.25">
      <c r="A122">
        <f t="shared" si="6"/>
        <v>26</v>
      </c>
      <c r="B122" s="244" t="s">
        <v>1521</v>
      </c>
      <c r="C122" s="244" t="s">
        <v>2882</v>
      </c>
      <c r="D122" s="245" t="s">
        <v>3305</v>
      </c>
      <c r="E122" s="244" t="s">
        <v>473</v>
      </c>
      <c r="F122" s="256">
        <v>40.369999999999997</v>
      </c>
      <c r="G122" s="256">
        <v>36.130000000000003</v>
      </c>
      <c r="H122" s="256">
        <v>45.14</v>
      </c>
    </row>
    <row r="123" spans="1:8" ht="15" customHeight="1" x14ac:dyDescent="0.25">
      <c r="A123">
        <f t="shared" si="6"/>
        <v>26</v>
      </c>
      <c r="B123" s="244" t="s">
        <v>1521</v>
      </c>
      <c r="C123" s="244" t="s">
        <v>2882</v>
      </c>
      <c r="D123" s="245" t="s">
        <v>3305</v>
      </c>
      <c r="E123" s="244" t="s">
        <v>473</v>
      </c>
      <c r="F123" s="246">
        <v>77.349999999999994</v>
      </c>
      <c r="G123" s="246">
        <v>36.130000000000003</v>
      </c>
      <c r="H123" s="246">
        <v>45.14</v>
      </c>
    </row>
    <row r="124" spans="1:8" ht="15" customHeight="1" x14ac:dyDescent="0.25">
      <c r="A124">
        <f t="shared" si="6"/>
        <v>26</v>
      </c>
      <c r="B124" s="244" t="s">
        <v>1521</v>
      </c>
      <c r="C124" s="244" t="s">
        <v>2882</v>
      </c>
      <c r="D124" s="245" t="s">
        <v>3305</v>
      </c>
      <c r="E124" s="244" t="s">
        <v>473</v>
      </c>
      <c r="F124" s="246">
        <v>63.16</v>
      </c>
      <c r="G124" s="246">
        <v>36.130000000000003</v>
      </c>
      <c r="H124" s="246">
        <v>45.14</v>
      </c>
    </row>
    <row r="125" spans="1:8" ht="15" customHeight="1" x14ac:dyDescent="0.25">
      <c r="A125">
        <f t="shared" si="6"/>
        <v>27</v>
      </c>
      <c r="B125" s="244" t="s">
        <v>1524</v>
      </c>
      <c r="C125" s="244" t="s">
        <v>2882</v>
      </c>
      <c r="D125" s="245" t="s">
        <v>3307</v>
      </c>
      <c r="E125" s="244" t="s">
        <v>473</v>
      </c>
      <c r="F125" s="256">
        <v>285.79000000000002</v>
      </c>
      <c r="G125" s="256">
        <v>11.96</v>
      </c>
      <c r="H125" s="256">
        <v>14.94</v>
      </c>
    </row>
    <row r="126" spans="1:8" ht="15" customHeight="1" x14ac:dyDescent="0.25">
      <c r="A126">
        <f t="shared" si="6"/>
        <v>27</v>
      </c>
      <c r="B126" s="244" t="s">
        <v>1524</v>
      </c>
      <c r="C126" s="244" t="s">
        <v>2882</v>
      </c>
      <c r="D126" s="245" t="s">
        <v>3307</v>
      </c>
      <c r="E126" s="244" t="s">
        <v>473</v>
      </c>
      <c r="F126" s="256">
        <v>21.69</v>
      </c>
      <c r="G126" s="257">
        <v>11.96</v>
      </c>
      <c r="H126" s="257">
        <v>14.94</v>
      </c>
    </row>
    <row r="127" spans="1:8" ht="15" customHeight="1" x14ac:dyDescent="0.25">
      <c r="A127">
        <f t="shared" si="6"/>
        <v>27</v>
      </c>
      <c r="B127" s="244" t="s">
        <v>1524</v>
      </c>
      <c r="C127" s="244" t="s">
        <v>2882</v>
      </c>
      <c r="D127" s="259" t="s">
        <v>3307</v>
      </c>
      <c r="E127" s="244" t="s">
        <v>473</v>
      </c>
      <c r="F127" s="256">
        <v>58.3</v>
      </c>
      <c r="G127" s="256">
        <v>11.96</v>
      </c>
      <c r="H127" s="256">
        <v>14.94</v>
      </c>
    </row>
    <row r="128" spans="1:8" ht="15" customHeight="1" x14ac:dyDescent="0.25">
      <c r="A128">
        <f t="shared" si="6"/>
        <v>27</v>
      </c>
      <c r="B128" s="244" t="s">
        <v>1524</v>
      </c>
      <c r="C128" s="244" t="s">
        <v>2882</v>
      </c>
      <c r="D128" s="245" t="s">
        <v>3307</v>
      </c>
      <c r="E128" s="244" t="s">
        <v>473</v>
      </c>
      <c r="F128" s="256">
        <v>25.47</v>
      </c>
      <c r="G128" s="256">
        <v>11.96</v>
      </c>
      <c r="H128" s="256">
        <v>14.94</v>
      </c>
    </row>
    <row r="129" spans="1:8" ht="15" customHeight="1" x14ac:dyDescent="0.25">
      <c r="A129">
        <f t="shared" si="6"/>
        <v>28</v>
      </c>
      <c r="B129" s="244" t="s">
        <v>1527</v>
      </c>
      <c r="C129" s="244" t="s">
        <v>2956</v>
      </c>
      <c r="D129" s="245" t="s">
        <v>3321</v>
      </c>
      <c r="E129" s="244" t="s">
        <v>1082</v>
      </c>
      <c r="F129" s="256">
        <v>3</v>
      </c>
      <c r="G129" s="256">
        <v>181.41</v>
      </c>
      <c r="H129" s="256">
        <v>226.64</v>
      </c>
    </row>
    <row r="130" spans="1:8" ht="15" customHeight="1" x14ac:dyDescent="0.25">
      <c r="A130">
        <f t="shared" si="6"/>
        <v>28</v>
      </c>
      <c r="B130" s="244" t="s">
        <v>1527</v>
      </c>
      <c r="C130" s="244" t="s">
        <v>2956</v>
      </c>
      <c r="D130" s="245" t="s">
        <v>3321</v>
      </c>
      <c r="E130" s="244" t="s">
        <v>1082</v>
      </c>
      <c r="F130" s="256">
        <v>16</v>
      </c>
      <c r="G130" s="256">
        <v>181.41</v>
      </c>
      <c r="H130" s="256">
        <v>226.64</v>
      </c>
    </row>
    <row r="131" spans="1:8" ht="15" customHeight="1" x14ac:dyDescent="0.25">
      <c r="A131">
        <f t="shared" si="6"/>
        <v>28</v>
      </c>
      <c r="B131" s="244" t="s">
        <v>1527</v>
      </c>
      <c r="C131" s="244" t="s">
        <v>2956</v>
      </c>
      <c r="D131" s="245" t="s">
        <v>3321</v>
      </c>
      <c r="E131" s="244" t="s">
        <v>1082</v>
      </c>
      <c r="F131" s="256">
        <v>4</v>
      </c>
      <c r="G131" s="257">
        <v>181.41</v>
      </c>
      <c r="H131" s="257">
        <v>226.64</v>
      </c>
    </row>
    <row r="132" spans="1:8" ht="15" customHeight="1" x14ac:dyDescent="0.25">
      <c r="A132">
        <f t="shared" si="6"/>
        <v>28</v>
      </c>
      <c r="B132" s="244" t="s">
        <v>1527</v>
      </c>
      <c r="C132" s="244" t="s">
        <v>2956</v>
      </c>
      <c r="D132" s="245" t="s">
        <v>3321</v>
      </c>
      <c r="E132" s="244" t="s">
        <v>1082</v>
      </c>
      <c r="F132" s="256">
        <v>2</v>
      </c>
      <c r="G132" s="257">
        <v>181.41</v>
      </c>
      <c r="H132" s="257">
        <v>226.64</v>
      </c>
    </row>
    <row r="133" spans="1:8" ht="15" customHeight="1" x14ac:dyDescent="0.25">
      <c r="A133">
        <f t="shared" si="6"/>
        <v>28</v>
      </c>
      <c r="B133" s="244" t="s">
        <v>1527</v>
      </c>
      <c r="C133" s="244" t="s">
        <v>2956</v>
      </c>
      <c r="D133" s="259" t="s">
        <v>3321</v>
      </c>
      <c r="E133" s="244" t="s">
        <v>1082</v>
      </c>
      <c r="F133" s="256">
        <v>1</v>
      </c>
      <c r="G133" s="256">
        <v>181.41</v>
      </c>
      <c r="H133" s="256">
        <v>226.64</v>
      </c>
    </row>
    <row r="134" spans="1:8" ht="15" customHeight="1" x14ac:dyDescent="0.25">
      <c r="A134">
        <f t="shared" si="6"/>
        <v>28</v>
      </c>
      <c r="B134" s="244" t="s">
        <v>1527</v>
      </c>
      <c r="C134" s="244" t="s">
        <v>2956</v>
      </c>
      <c r="D134" s="259" t="s">
        <v>3321</v>
      </c>
      <c r="E134" s="244" t="s">
        <v>1082</v>
      </c>
      <c r="F134" s="256">
        <v>4</v>
      </c>
      <c r="G134" s="256">
        <v>181.41</v>
      </c>
      <c r="H134" s="256">
        <v>226.64</v>
      </c>
    </row>
    <row r="135" spans="1:8" ht="15" customHeight="1" x14ac:dyDescent="0.25">
      <c r="A135">
        <f t="shared" si="6"/>
        <v>28</v>
      </c>
      <c r="B135" s="244" t="s">
        <v>1527</v>
      </c>
      <c r="C135" s="244" t="s">
        <v>2956</v>
      </c>
      <c r="D135" s="245" t="s">
        <v>3321</v>
      </c>
      <c r="E135" s="244" t="s">
        <v>1082</v>
      </c>
      <c r="F135" s="256">
        <v>2</v>
      </c>
      <c r="G135" s="256">
        <v>181.41</v>
      </c>
      <c r="H135" s="256">
        <v>226.64</v>
      </c>
    </row>
    <row r="136" spans="1:8" ht="15" customHeight="1" x14ac:dyDescent="0.25">
      <c r="A136">
        <f t="shared" si="6"/>
        <v>28</v>
      </c>
      <c r="B136" s="244" t="s">
        <v>1527</v>
      </c>
      <c r="C136" s="244" t="s">
        <v>2956</v>
      </c>
      <c r="D136" s="245" t="s">
        <v>3321</v>
      </c>
      <c r="E136" s="244" t="s">
        <v>1082</v>
      </c>
      <c r="F136" s="256">
        <v>2</v>
      </c>
      <c r="G136" s="256">
        <v>181.41</v>
      </c>
      <c r="H136" s="256">
        <v>226.64</v>
      </c>
    </row>
    <row r="137" spans="1:8" ht="15" customHeight="1" x14ac:dyDescent="0.25">
      <c r="A137">
        <f t="shared" si="6"/>
        <v>28</v>
      </c>
      <c r="B137" s="244" t="s">
        <v>1527</v>
      </c>
      <c r="C137" s="244" t="s">
        <v>2956</v>
      </c>
      <c r="D137" s="245" t="s">
        <v>3321</v>
      </c>
      <c r="E137" s="244" t="s">
        <v>1082</v>
      </c>
      <c r="F137" s="256">
        <v>2</v>
      </c>
      <c r="G137" s="256">
        <v>181.41</v>
      </c>
      <c r="H137" s="256">
        <v>226.64</v>
      </c>
    </row>
    <row r="138" spans="1:8" ht="15" customHeight="1" x14ac:dyDescent="0.25">
      <c r="A138">
        <f t="shared" si="6"/>
        <v>28</v>
      </c>
      <c r="B138" s="244" t="s">
        <v>1527</v>
      </c>
      <c r="C138" s="244" t="s">
        <v>2956</v>
      </c>
      <c r="D138" s="245" t="s">
        <v>3321</v>
      </c>
      <c r="E138" s="244" t="s">
        <v>1082</v>
      </c>
      <c r="F138" s="256">
        <v>1</v>
      </c>
      <c r="G138" s="256">
        <v>181.41</v>
      </c>
      <c r="H138" s="256">
        <v>226.64</v>
      </c>
    </row>
    <row r="139" spans="1:8" ht="15" customHeight="1" x14ac:dyDescent="0.25">
      <c r="A139">
        <f t="shared" ref="A139:A202" si="7">IF(B139=B138,A138,A138+1)</f>
        <v>28</v>
      </c>
      <c r="B139" s="244" t="s">
        <v>1527</v>
      </c>
      <c r="C139" s="244" t="s">
        <v>2956</v>
      </c>
      <c r="D139" s="245" t="s">
        <v>3321</v>
      </c>
      <c r="E139" s="244" t="s">
        <v>1082</v>
      </c>
      <c r="F139" s="256">
        <v>1</v>
      </c>
      <c r="G139" s="256">
        <v>181.41</v>
      </c>
      <c r="H139" s="256">
        <v>226.64</v>
      </c>
    </row>
    <row r="140" spans="1:8" ht="15" customHeight="1" x14ac:dyDescent="0.25">
      <c r="A140">
        <f t="shared" si="7"/>
        <v>29</v>
      </c>
      <c r="B140" s="244" t="s">
        <v>1530</v>
      </c>
      <c r="C140" s="244" t="s">
        <v>2956</v>
      </c>
      <c r="D140" s="245" t="s">
        <v>3317</v>
      </c>
      <c r="E140" s="244" t="s">
        <v>378</v>
      </c>
      <c r="F140" s="256">
        <v>41.92</v>
      </c>
      <c r="G140" s="256">
        <v>140.58000000000001</v>
      </c>
      <c r="H140" s="256">
        <v>175.63</v>
      </c>
    </row>
    <row r="141" spans="1:8" ht="15" customHeight="1" x14ac:dyDescent="0.25">
      <c r="A141">
        <f t="shared" si="7"/>
        <v>29</v>
      </c>
      <c r="B141" s="244" t="s">
        <v>1530</v>
      </c>
      <c r="C141" s="244" t="s">
        <v>2956</v>
      </c>
      <c r="D141" s="245" t="s">
        <v>3317</v>
      </c>
      <c r="E141" s="244" t="s">
        <v>378</v>
      </c>
      <c r="F141" s="256">
        <v>13.7</v>
      </c>
      <c r="G141" s="256">
        <v>140.58000000000001</v>
      </c>
      <c r="H141" s="256">
        <v>175.63</v>
      </c>
    </row>
    <row r="142" spans="1:8" ht="15" customHeight="1" x14ac:dyDescent="0.25">
      <c r="A142">
        <f t="shared" si="7"/>
        <v>30</v>
      </c>
      <c r="B142" s="244" t="s">
        <v>1533</v>
      </c>
      <c r="C142" s="244" t="s">
        <v>2956</v>
      </c>
      <c r="D142" s="245" t="s">
        <v>3350</v>
      </c>
      <c r="E142" s="244" t="s">
        <v>1082</v>
      </c>
      <c r="F142" s="256">
        <v>18</v>
      </c>
      <c r="G142" s="256">
        <v>17.95</v>
      </c>
      <c r="H142" s="256">
        <v>22.42</v>
      </c>
    </row>
    <row r="143" spans="1:8" ht="15" customHeight="1" x14ac:dyDescent="0.25">
      <c r="A143">
        <f t="shared" si="7"/>
        <v>30</v>
      </c>
      <c r="B143" s="244" t="s">
        <v>1533</v>
      </c>
      <c r="C143" s="244" t="s">
        <v>2956</v>
      </c>
      <c r="D143" s="245" t="s">
        <v>3350</v>
      </c>
      <c r="E143" s="244" t="s">
        <v>1082</v>
      </c>
      <c r="F143" s="256">
        <v>7</v>
      </c>
      <c r="G143" s="257">
        <v>17.95</v>
      </c>
      <c r="H143" s="257">
        <v>22.42</v>
      </c>
    </row>
    <row r="144" spans="1:8" ht="15" customHeight="1" x14ac:dyDescent="0.25">
      <c r="A144">
        <f t="shared" si="7"/>
        <v>30</v>
      </c>
      <c r="B144" s="244" t="s">
        <v>1533</v>
      </c>
      <c r="C144" s="244" t="s">
        <v>2956</v>
      </c>
      <c r="D144" s="259" t="s">
        <v>3350</v>
      </c>
      <c r="E144" s="244" t="s">
        <v>1082</v>
      </c>
      <c r="F144" s="256">
        <v>5</v>
      </c>
      <c r="G144" s="256">
        <v>17.95</v>
      </c>
      <c r="H144" s="256">
        <v>22.42</v>
      </c>
    </row>
    <row r="145" spans="1:8" ht="15" customHeight="1" x14ac:dyDescent="0.25">
      <c r="A145">
        <f t="shared" si="7"/>
        <v>30</v>
      </c>
      <c r="B145" s="244" t="s">
        <v>1533</v>
      </c>
      <c r="C145" s="244" t="s">
        <v>2956</v>
      </c>
      <c r="D145" s="245" t="s">
        <v>3350</v>
      </c>
      <c r="E145" s="244" t="s">
        <v>1082</v>
      </c>
      <c r="F145" s="256">
        <v>14</v>
      </c>
      <c r="G145" s="256">
        <v>17.95</v>
      </c>
      <c r="H145" s="256">
        <v>22.42</v>
      </c>
    </row>
    <row r="146" spans="1:8" ht="15" customHeight="1" x14ac:dyDescent="0.25">
      <c r="A146">
        <f t="shared" si="7"/>
        <v>30</v>
      </c>
      <c r="B146" s="244" t="s">
        <v>1533</v>
      </c>
      <c r="C146" s="244" t="s">
        <v>2956</v>
      </c>
      <c r="D146" s="245" t="s">
        <v>3350</v>
      </c>
      <c r="E146" s="244" t="s">
        <v>1082</v>
      </c>
      <c r="F146" s="256">
        <v>3</v>
      </c>
      <c r="G146" s="256">
        <v>17.95</v>
      </c>
      <c r="H146" s="256">
        <v>22.42</v>
      </c>
    </row>
    <row r="147" spans="1:8" ht="15" customHeight="1" x14ac:dyDescent="0.25">
      <c r="A147">
        <f t="shared" si="7"/>
        <v>30</v>
      </c>
      <c r="B147" s="244" t="s">
        <v>1533</v>
      </c>
      <c r="C147" s="244" t="s">
        <v>2956</v>
      </c>
      <c r="D147" s="245" t="s">
        <v>3350</v>
      </c>
      <c r="E147" s="244" t="s">
        <v>1082</v>
      </c>
      <c r="F147" s="256">
        <v>2</v>
      </c>
      <c r="G147" s="256">
        <v>17.95</v>
      </c>
      <c r="H147" s="256">
        <v>22.42</v>
      </c>
    </row>
    <row r="148" spans="1:8" ht="15" customHeight="1" x14ac:dyDescent="0.25">
      <c r="A148">
        <f t="shared" si="7"/>
        <v>30</v>
      </c>
      <c r="B148" s="244" t="s">
        <v>1533</v>
      </c>
      <c r="C148" s="244" t="s">
        <v>2956</v>
      </c>
      <c r="D148" s="245" t="s">
        <v>3350</v>
      </c>
      <c r="E148" s="244" t="s">
        <v>1082</v>
      </c>
      <c r="F148" s="246">
        <v>40</v>
      </c>
      <c r="G148" s="246">
        <v>17.95</v>
      </c>
      <c r="H148" s="246">
        <v>22.42</v>
      </c>
    </row>
    <row r="149" spans="1:8" ht="15" customHeight="1" x14ac:dyDescent="0.25">
      <c r="A149">
        <f t="shared" si="7"/>
        <v>30</v>
      </c>
      <c r="B149" s="244" t="s">
        <v>1533</v>
      </c>
      <c r="C149" s="244" t="s">
        <v>2956</v>
      </c>
      <c r="D149" s="245" t="s">
        <v>3350</v>
      </c>
      <c r="E149" s="244" t="s">
        <v>1082</v>
      </c>
      <c r="F149" s="246">
        <v>32</v>
      </c>
      <c r="G149" s="246">
        <v>17.95</v>
      </c>
      <c r="H149" s="246">
        <v>22.42</v>
      </c>
    </row>
    <row r="150" spans="1:8" ht="15" customHeight="1" x14ac:dyDescent="0.25">
      <c r="A150">
        <f t="shared" si="7"/>
        <v>31</v>
      </c>
      <c r="B150" s="244" t="s">
        <v>1536</v>
      </c>
      <c r="C150" s="244" t="s">
        <v>2956</v>
      </c>
      <c r="D150" s="245" t="s">
        <v>3340</v>
      </c>
      <c r="E150" s="244" t="s">
        <v>1082</v>
      </c>
      <c r="F150" s="256">
        <v>4</v>
      </c>
      <c r="G150" s="256">
        <v>16.63</v>
      </c>
      <c r="H150" s="256">
        <v>20.78</v>
      </c>
    </row>
    <row r="151" spans="1:8" ht="15" customHeight="1" x14ac:dyDescent="0.25">
      <c r="A151">
        <f t="shared" si="7"/>
        <v>31</v>
      </c>
      <c r="B151" s="244" t="s">
        <v>1536</v>
      </c>
      <c r="C151" s="244" t="s">
        <v>2956</v>
      </c>
      <c r="D151" s="245" t="s">
        <v>3340</v>
      </c>
      <c r="E151" s="244" t="s">
        <v>1082</v>
      </c>
      <c r="F151" s="256">
        <v>2</v>
      </c>
      <c r="G151" s="256">
        <v>16.63</v>
      </c>
      <c r="H151" s="256">
        <v>20.78</v>
      </c>
    </row>
    <row r="152" spans="1:8" ht="15" customHeight="1" x14ac:dyDescent="0.25">
      <c r="A152">
        <f t="shared" si="7"/>
        <v>32</v>
      </c>
      <c r="B152" s="244" t="s">
        <v>1539</v>
      </c>
      <c r="C152" s="244" t="s">
        <v>2956</v>
      </c>
      <c r="D152" s="245" t="s">
        <v>3352</v>
      </c>
      <c r="E152" s="244" t="s">
        <v>1082</v>
      </c>
      <c r="F152" s="256">
        <v>3</v>
      </c>
      <c r="G152" s="256">
        <v>56.33</v>
      </c>
      <c r="H152" s="256">
        <v>70.37</v>
      </c>
    </row>
    <row r="153" spans="1:8" ht="15" customHeight="1" x14ac:dyDescent="0.25">
      <c r="A153">
        <f t="shared" si="7"/>
        <v>32</v>
      </c>
      <c r="B153" s="244" t="s">
        <v>1539</v>
      </c>
      <c r="C153" s="244" t="s">
        <v>2956</v>
      </c>
      <c r="D153" s="245" t="s">
        <v>3352</v>
      </c>
      <c r="E153" s="244" t="s">
        <v>1082</v>
      </c>
      <c r="F153" s="256">
        <v>3</v>
      </c>
      <c r="G153" s="256">
        <v>56.33</v>
      </c>
      <c r="H153" s="256">
        <v>70.37</v>
      </c>
    </row>
    <row r="154" spans="1:8" ht="15" customHeight="1" x14ac:dyDescent="0.25">
      <c r="A154">
        <f t="shared" si="7"/>
        <v>32</v>
      </c>
      <c r="B154" s="244" t="s">
        <v>1539</v>
      </c>
      <c r="C154" s="244" t="s">
        <v>2956</v>
      </c>
      <c r="D154" s="245" t="s">
        <v>3352</v>
      </c>
      <c r="E154" s="244" t="s">
        <v>1082</v>
      </c>
      <c r="F154" s="256">
        <v>1</v>
      </c>
      <c r="G154" s="256">
        <v>56.33</v>
      </c>
      <c r="H154" s="256">
        <v>70.37</v>
      </c>
    </row>
    <row r="155" spans="1:8" ht="15" customHeight="1" x14ac:dyDescent="0.25">
      <c r="A155">
        <f t="shared" si="7"/>
        <v>32</v>
      </c>
      <c r="B155" s="244" t="s">
        <v>1539</v>
      </c>
      <c r="C155" s="244" t="s">
        <v>2956</v>
      </c>
      <c r="D155" s="245" t="s">
        <v>3352</v>
      </c>
      <c r="E155" s="244" t="s">
        <v>1082</v>
      </c>
      <c r="F155" s="246">
        <v>2</v>
      </c>
      <c r="G155" s="246">
        <v>56.33</v>
      </c>
      <c r="H155" s="246">
        <v>70.37</v>
      </c>
    </row>
    <row r="156" spans="1:8" ht="15" customHeight="1" x14ac:dyDescent="0.25">
      <c r="A156">
        <f t="shared" si="7"/>
        <v>33</v>
      </c>
      <c r="B156" s="244" t="s">
        <v>1264</v>
      </c>
      <c r="C156" s="244" t="s">
        <v>2956</v>
      </c>
      <c r="D156" s="245" t="s">
        <v>3354</v>
      </c>
      <c r="E156" s="244" t="s">
        <v>1082</v>
      </c>
      <c r="F156" s="256">
        <v>40</v>
      </c>
      <c r="G156" s="256">
        <v>121.83</v>
      </c>
      <c r="H156" s="256">
        <v>152.19999999999999</v>
      </c>
    </row>
    <row r="157" spans="1:8" ht="15" customHeight="1" x14ac:dyDescent="0.25">
      <c r="A157">
        <f t="shared" si="7"/>
        <v>33</v>
      </c>
      <c r="B157" s="244" t="s">
        <v>1264</v>
      </c>
      <c r="C157" s="244" t="s">
        <v>2956</v>
      </c>
      <c r="D157" s="245" t="s">
        <v>3354</v>
      </c>
      <c r="E157" s="244" t="s">
        <v>1082</v>
      </c>
      <c r="F157" s="256">
        <v>3</v>
      </c>
      <c r="G157" s="257">
        <v>121.83</v>
      </c>
      <c r="H157" s="257">
        <v>152.19999999999999</v>
      </c>
    </row>
    <row r="158" spans="1:8" ht="15" customHeight="1" x14ac:dyDescent="0.25">
      <c r="A158">
        <f t="shared" si="7"/>
        <v>33</v>
      </c>
      <c r="B158" s="244" t="s">
        <v>1264</v>
      </c>
      <c r="C158" s="244" t="s">
        <v>2956</v>
      </c>
      <c r="D158" s="259" t="s">
        <v>3354</v>
      </c>
      <c r="E158" s="244" t="s">
        <v>1082</v>
      </c>
      <c r="F158" s="256">
        <v>12</v>
      </c>
      <c r="G158" s="256">
        <v>121.83</v>
      </c>
      <c r="H158" s="256">
        <v>152.19999999999999</v>
      </c>
    </row>
    <row r="159" spans="1:8" ht="15" customHeight="1" x14ac:dyDescent="0.25">
      <c r="A159">
        <f t="shared" si="7"/>
        <v>33</v>
      </c>
      <c r="B159" s="244" t="s">
        <v>1264</v>
      </c>
      <c r="C159" s="244" t="s">
        <v>2956</v>
      </c>
      <c r="D159" s="245" t="s">
        <v>3354</v>
      </c>
      <c r="E159" s="244" t="s">
        <v>1082</v>
      </c>
      <c r="F159" s="256">
        <v>7</v>
      </c>
      <c r="G159" s="256">
        <v>121.83</v>
      </c>
      <c r="H159" s="256">
        <v>152.19999999999999</v>
      </c>
    </row>
    <row r="160" spans="1:8" ht="15" customHeight="1" x14ac:dyDescent="0.25">
      <c r="A160">
        <f t="shared" si="7"/>
        <v>33</v>
      </c>
      <c r="B160" s="244" t="s">
        <v>1264</v>
      </c>
      <c r="C160" s="244" t="s">
        <v>2956</v>
      </c>
      <c r="D160" s="245" t="s">
        <v>3354</v>
      </c>
      <c r="E160" s="244" t="s">
        <v>1082</v>
      </c>
      <c r="F160" s="256">
        <v>8</v>
      </c>
      <c r="G160" s="256">
        <v>121.83</v>
      </c>
      <c r="H160" s="256">
        <v>152.19999999999999</v>
      </c>
    </row>
    <row r="161" spans="1:8" ht="15" customHeight="1" x14ac:dyDescent="0.25">
      <c r="A161">
        <f t="shared" si="7"/>
        <v>33</v>
      </c>
      <c r="B161" s="244" t="s">
        <v>1264</v>
      </c>
      <c r="C161" s="244" t="s">
        <v>2956</v>
      </c>
      <c r="D161" s="245" t="s">
        <v>3354</v>
      </c>
      <c r="E161" s="244" t="s">
        <v>1082</v>
      </c>
      <c r="F161" s="256">
        <v>2</v>
      </c>
      <c r="G161" s="256">
        <v>121.83</v>
      </c>
      <c r="H161" s="256">
        <v>152.19999999999999</v>
      </c>
    </row>
    <row r="162" spans="1:8" ht="15" customHeight="1" x14ac:dyDescent="0.25">
      <c r="A162">
        <f t="shared" si="7"/>
        <v>33</v>
      </c>
      <c r="B162" s="244" t="s">
        <v>1264</v>
      </c>
      <c r="C162" s="244" t="s">
        <v>2956</v>
      </c>
      <c r="D162" s="245" t="s">
        <v>3354</v>
      </c>
      <c r="E162" s="244" t="s">
        <v>1082</v>
      </c>
      <c r="F162" s="246">
        <v>10</v>
      </c>
      <c r="G162" s="246">
        <v>121.83</v>
      </c>
      <c r="H162" s="246">
        <v>152.19999999999999</v>
      </c>
    </row>
    <row r="163" spans="1:8" ht="15" customHeight="1" x14ac:dyDescent="0.25">
      <c r="A163">
        <f t="shared" si="7"/>
        <v>33</v>
      </c>
      <c r="B163" s="244" t="s">
        <v>1264</v>
      </c>
      <c r="C163" s="244" t="s">
        <v>2956</v>
      </c>
      <c r="D163" s="245" t="s">
        <v>3262</v>
      </c>
      <c r="E163" s="244" t="s">
        <v>1082</v>
      </c>
      <c r="F163" s="246">
        <v>5</v>
      </c>
      <c r="G163" s="246">
        <v>121.83</v>
      </c>
      <c r="H163" s="246">
        <v>152.19999999999999</v>
      </c>
    </row>
    <row r="164" spans="1:8" ht="15" customHeight="1" x14ac:dyDescent="0.25">
      <c r="A164">
        <f t="shared" si="7"/>
        <v>34</v>
      </c>
      <c r="B164" s="244" t="s">
        <v>1544</v>
      </c>
      <c r="C164" s="244" t="s">
        <v>2956</v>
      </c>
      <c r="D164" s="245" t="s">
        <v>3364</v>
      </c>
      <c r="E164" s="244" t="s">
        <v>1082</v>
      </c>
      <c r="F164" s="256">
        <v>10</v>
      </c>
      <c r="G164" s="256">
        <v>22.49</v>
      </c>
      <c r="H164" s="256">
        <v>28.1</v>
      </c>
    </row>
    <row r="165" spans="1:8" ht="15" customHeight="1" x14ac:dyDescent="0.25">
      <c r="A165">
        <f t="shared" si="7"/>
        <v>34</v>
      </c>
      <c r="B165" s="244" t="s">
        <v>1544</v>
      </c>
      <c r="C165" s="244" t="s">
        <v>2956</v>
      </c>
      <c r="D165" s="245" t="s">
        <v>3364</v>
      </c>
      <c r="E165" s="244" t="s">
        <v>1082</v>
      </c>
      <c r="F165" s="256">
        <v>4</v>
      </c>
      <c r="G165" s="257">
        <v>22.49</v>
      </c>
      <c r="H165" s="257">
        <v>28.1</v>
      </c>
    </row>
    <row r="166" spans="1:8" ht="15" customHeight="1" x14ac:dyDescent="0.25">
      <c r="A166">
        <f t="shared" si="7"/>
        <v>34</v>
      </c>
      <c r="B166" s="244" t="s">
        <v>1544</v>
      </c>
      <c r="C166" s="244" t="s">
        <v>2956</v>
      </c>
      <c r="D166" s="245" t="s">
        <v>3364</v>
      </c>
      <c r="E166" s="244" t="s">
        <v>1082</v>
      </c>
      <c r="F166" s="256">
        <v>1</v>
      </c>
      <c r="G166" s="256">
        <v>22.49</v>
      </c>
      <c r="H166" s="256">
        <v>28.1</v>
      </c>
    </row>
    <row r="167" spans="1:8" ht="15" customHeight="1" x14ac:dyDescent="0.25">
      <c r="A167">
        <f t="shared" si="7"/>
        <v>34</v>
      </c>
      <c r="B167" s="244" t="s">
        <v>1544</v>
      </c>
      <c r="C167" s="244" t="s">
        <v>2956</v>
      </c>
      <c r="D167" s="245" t="s">
        <v>3364</v>
      </c>
      <c r="E167" s="244" t="s">
        <v>1082</v>
      </c>
      <c r="F167" s="246">
        <v>7</v>
      </c>
      <c r="G167" s="246">
        <v>22.49</v>
      </c>
      <c r="H167" s="246">
        <v>28.1</v>
      </c>
    </row>
    <row r="168" spans="1:8" ht="15" customHeight="1" x14ac:dyDescent="0.25">
      <c r="A168">
        <f t="shared" si="7"/>
        <v>35</v>
      </c>
      <c r="B168" s="244" t="s">
        <v>1547</v>
      </c>
      <c r="C168" s="244" t="s">
        <v>2956</v>
      </c>
      <c r="D168" s="245" t="s">
        <v>3360</v>
      </c>
      <c r="E168" s="244" t="s">
        <v>1082</v>
      </c>
      <c r="F168" s="256">
        <v>58</v>
      </c>
      <c r="G168" s="256">
        <v>23.99</v>
      </c>
      <c r="H168" s="256">
        <v>29.97</v>
      </c>
    </row>
    <row r="169" spans="1:8" ht="15" customHeight="1" x14ac:dyDescent="0.25">
      <c r="A169">
        <f t="shared" si="7"/>
        <v>35</v>
      </c>
      <c r="B169" s="244" t="s">
        <v>1547</v>
      </c>
      <c r="C169" s="244" t="s">
        <v>2956</v>
      </c>
      <c r="D169" s="259" t="s">
        <v>3360</v>
      </c>
      <c r="E169" s="244" t="s">
        <v>1082</v>
      </c>
      <c r="F169" s="256">
        <v>15</v>
      </c>
      <c r="G169" s="256">
        <v>23.99</v>
      </c>
      <c r="H169" s="256">
        <v>29.97</v>
      </c>
    </row>
    <row r="170" spans="1:8" ht="15" customHeight="1" x14ac:dyDescent="0.25">
      <c r="A170">
        <f t="shared" si="7"/>
        <v>35</v>
      </c>
      <c r="B170" s="244" t="s">
        <v>1547</v>
      </c>
      <c r="C170" s="244" t="s">
        <v>2956</v>
      </c>
      <c r="D170" s="245" t="s">
        <v>3360</v>
      </c>
      <c r="E170" s="244" t="s">
        <v>1082</v>
      </c>
      <c r="F170" s="256">
        <v>14</v>
      </c>
      <c r="G170" s="256">
        <v>23.99</v>
      </c>
      <c r="H170" s="256">
        <v>29.97</v>
      </c>
    </row>
    <row r="171" spans="1:8" ht="15" customHeight="1" x14ac:dyDescent="0.25">
      <c r="A171">
        <f t="shared" si="7"/>
        <v>35</v>
      </c>
      <c r="B171" s="244" t="s">
        <v>1547</v>
      </c>
      <c r="C171" s="244" t="s">
        <v>2956</v>
      </c>
      <c r="D171" s="245" t="s">
        <v>3360</v>
      </c>
      <c r="E171" s="244" t="s">
        <v>1082</v>
      </c>
      <c r="F171" s="256">
        <v>7</v>
      </c>
      <c r="G171" s="256">
        <v>23.99</v>
      </c>
      <c r="H171" s="256">
        <v>29.97</v>
      </c>
    </row>
    <row r="172" spans="1:8" ht="15" customHeight="1" x14ac:dyDescent="0.25">
      <c r="A172">
        <f t="shared" si="7"/>
        <v>35</v>
      </c>
      <c r="B172" s="244" t="s">
        <v>1547</v>
      </c>
      <c r="C172" s="244" t="s">
        <v>2956</v>
      </c>
      <c r="D172" s="245" t="s">
        <v>3360</v>
      </c>
      <c r="E172" s="244" t="s">
        <v>1082</v>
      </c>
      <c r="F172" s="256">
        <v>4</v>
      </c>
      <c r="G172" s="256">
        <v>23.99</v>
      </c>
      <c r="H172" s="256">
        <v>29.97</v>
      </c>
    </row>
    <row r="173" spans="1:8" ht="15" customHeight="1" x14ac:dyDescent="0.25">
      <c r="A173">
        <f t="shared" si="7"/>
        <v>35</v>
      </c>
      <c r="B173" s="244" t="s">
        <v>1547</v>
      </c>
      <c r="C173" s="244" t="s">
        <v>2956</v>
      </c>
      <c r="D173" s="245" t="s">
        <v>3360</v>
      </c>
      <c r="E173" s="244" t="s">
        <v>1082</v>
      </c>
      <c r="F173" s="246">
        <v>74</v>
      </c>
      <c r="G173" s="246">
        <v>23.99</v>
      </c>
      <c r="H173" s="246">
        <v>29.97</v>
      </c>
    </row>
    <row r="174" spans="1:8" ht="15" customHeight="1" x14ac:dyDescent="0.25">
      <c r="A174">
        <f t="shared" si="7"/>
        <v>35</v>
      </c>
      <c r="B174" s="244" t="s">
        <v>1547</v>
      </c>
      <c r="C174" s="244" t="s">
        <v>2956</v>
      </c>
      <c r="D174" s="245" t="s">
        <v>3360</v>
      </c>
      <c r="E174" s="244" t="s">
        <v>1082</v>
      </c>
      <c r="F174" s="246">
        <v>72</v>
      </c>
      <c r="G174" s="246">
        <v>23.99</v>
      </c>
      <c r="H174" s="246">
        <v>29.97</v>
      </c>
    </row>
    <row r="175" spans="1:8" ht="15" customHeight="1" x14ac:dyDescent="0.25">
      <c r="A175">
        <f t="shared" si="7"/>
        <v>36</v>
      </c>
      <c r="B175" s="244" t="s">
        <v>1550</v>
      </c>
      <c r="C175" s="244" t="s">
        <v>2956</v>
      </c>
      <c r="D175" s="245" t="s">
        <v>3368</v>
      </c>
      <c r="E175" s="244" t="s">
        <v>1082</v>
      </c>
      <c r="F175" s="256">
        <v>10</v>
      </c>
      <c r="G175" s="256">
        <v>24.3</v>
      </c>
      <c r="H175" s="256">
        <v>30.36</v>
      </c>
    </row>
    <row r="176" spans="1:8" ht="15" customHeight="1" x14ac:dyDescent="0.25">
      <c r="A176">
        <f t="shared" si="7"/>
        <v>36</v>
      </c>
      <c r="B176" s="244" t="s">
        <v>1550</v>
      </c>
      <c r="C176" s="244" t="s">
        <v>2956</v>
      </c>
      <c r="D176" s="245" t="s">
        <v>3368</v>
      </c>
      <c r="E176" s="244" t="s">
        <v>1082</v>
      </c>
      <c r="F176" s="256">
        <v>3</v>
      </c>
      <c r="G176" s="256">
        <v>24.3</v>
      </c>
      <c r="H176" s="256">
        <v>30.36</v>
      </c>
    </row>
    <row r="177" spans="1:8" ht="15" customHeight="1" x14ac:dyDescent="0.25">
      <c r="A177">
        <f t="shared" si="7"/>
        <v>36</v>
      </c>
      <c r="B177" s="244" t="s">
        <v>1550</v>
      </c>
      <c r="C177" s="244" t="s">
        <v>2956</v>
      </c>
      <c r="D177" s="245" t="s">
        <v>3368</v>
      </c>
      <c r="E177" s="244" t="s">
        <v>1082</v>
      </c>
      <c r="F177" s="256">
        <v>1</v>
      </c>
      <c r="G177" s="256">
        <v>24.3</v>
      </c>
      <c r="H177" s="256">
        <v>30.36</v>
      </c>
    </row>
    <row r="178" spans="1:8" ht="15" customHeight="1" x14ac:dyDescent="0.25">
      <c r="A178">
        <f t="shared" si="7"/>
        <v>36</v>
      </c>
      <c r="B178" s="244" t="s">
        <v>1550</v>
      </c>
      <c r="C178" s="244" t="s">
        <v>2956</v>
      </c>
      <c r="D178" s="245" t="s">
        <v>3368</v>
      </c>
      <c r="E178" s="244" t="s">
        <v>1082</v>
      </c>
      <c r="F178" s="246">
        <v>1</v>
      </c>
      <c r="G178" s="246">
        <v>24.3</v>
      </c>
      <c r="H178" s="246">
        <v>30.36</v>
      </c>
    </row>
    <row r="179" spans="1:8" ht="15" customHeight="1" x14ac:dyDescent="0.25">
      <c r="A179">
        <f t="shared" si="7"/>
        <v>37</v>
      </c>
      <c r="B179" s="244" t="s">
        <v>1553</v>
      </c>
      <c r="C179" s="244" t="s">
        <v>2956</v>
      </c>
      <c r="D179" s="245" t="s">
        <v>3370</v>
      </c>
      <c r="E179" s="244" t="s">
        <v>1082</v>
      </c>
      <c r="F179" s="256">
        <v>12</v>
      </c>
      <c r="G179" s="256">
        <v>25.33</v>
      </c>
      <c r="H179" s="256">
        <v>31.64</v>
      </c>
    </row>
    <row r="180" spans="1:8" ht="15" customHeight="1" x14ac:dyDescent="0.25">
      <c r="A180">
        <f t="shared" si="7"/>
        <v>37</v>
      </c>
      <c r="B180" s="244" t="s">
        <v>1553</v>
      </c>
      <c r="C180" s="244" t="s">
        <v>2956</v>
      </c>
      <c r="D180" s="259" t="s">
        <v>3370</v>
      </c>
      <c r="E180" s="244" t="s">
        <v>1082</v>
      </c>
      <c r="F180" s="256">
        <v>13</v>
      </c>
      <c r="G180" s="256">
        <v>25.33</v>
      </c>
      <c r="H180" s="256">
        <v>31.64</v>
      </c>
    </row>
    <row r="181" spans="1:8" ht="15" customHeight="1" x14ac:dyDescent="0.25">
      <c r="A181">
        <f t="shared" si="7"/>
        <v>37</v>
      </c>
      <c r="B181" s="244" t="s">
        <v>1553</v>
      </c>
      <c r="C181" s="244" t="s">
        <v>2956</v>
      </c>
      <c r="D181" s="245" t="s">
        <v>3370</v>
      </c>
      <c r="E181" s="244" t="s">
        <v>1082</v>
      </c>
      <c r="F181" s="256">
        <v>2</v>
      </c>
      <c r="G181" s="256">
        <v>25.33</v>
      </c>
      <c r="H181" s="256">
        <v>31.64</v>
      </c>
    </row>
    <row r="182" spans="1:8" ht="15" customHeight="1" x14ac:dyDescent="0.25">
      <c r="A182">
        <f t="shared" si="7"/>
        <v>37</v>
      </c>
      <c r="B182" s="244" t="s">
        <v>1553</v>
      </c>
      <c r="C182" s="244" t="s">
        <v>2956</v>
      </c>
      <c r="D182" s="245" t="s">
        <v>3370</v>
      </c>
      <c r="E182" s="244" t="s">
        <v>1082</v>
      </c>
      <c r="F182" s="256">
        <v>3</v>
      </c>
      <c r="G182" s="256">
        <v>25.33</v>
      </c>
      <c r="H182" s="256">
        <v>31.64</v>
      </c>
    </row>
    <row r="183" spans="1:8" ht="15" customHeight="1" x14ac:dyDescent="0.25">
      <c r="A183">
        <f t="shared" si="7"/>
        <v>37</v>
      </c>
      <c r="B183" s="244" t="s">
        <v>1553</v>
      </c>
      <c r="C183" s="244" t="s">
        <v>2956</v>
      </c>
      <c r="D183" s="245" t="s">
        <v>3370</v>
      </c>
      <c r="E183" s="244" t="s">
        <v>1082</v>
      </c>
      <c r="F183" s="246">
        <v>35</v>
      </c>
      <c r="G183" s="246">
        <v>25.33</v>
      </c>
      <c r="H183" s="246">
        <v>31.64</v>
      </c>
    </row>
    <row r="184" spans="1:8" ht="15" customHeight="1" x14ac:dyDescent="0.25">
      <c r="A184">
        <f t="shared" si="7"/>
        <v>37</v>
      </c>
      <c r="B184" s="244" t="s">
        <v>1553</v>
      </c>
      <c r="C184" s="244" t="s">
        <v>2956</v>
      </c>
      <c r="D184" s="245" t="s">
        <v>3370</v>
      </c>
      <c r="E184" s="244" t="s">
        <v>1082</v>
      </c>
      <c r="F184" s="246">
        <v>32</v>
      </c>
      <c r="G184" s="246">
        <v>25.33</v>
      </c>
      <c r="H184" s="246">
        <v>31.64</v>
      </c>
    </row>
    <row r="185" spans="1:8" ht="15" customHeight="1" x14ac:dyDescent="0.25">
      <c r="A185">
        <f t="shared" si="7"/>
        <v>38</v>
      </c>
      <c r="B185" s="244" t="s">
        <v>1556</v>
      </c>
      <c r="C185" s="244" t="s">
        <v>2956</v>
      </c>
      <c r="D185" s="245" t="s">
        <v>3376</v>
      </c>
      <c r="E185" s="244" t="s">
        <v>1082</v>
      </c>
      <c r="F185" s="256">
        <v>37</v>
      </c>
      <c r="G185" s="256">
        <v>14.7</v>
      </c>
      <c r="H185" s="256">
        <v>18.36</v>
      </c>
    </row>
    <row r="186" spans="1:8" ht="15" customHeight="1" x14ac:dyDescent="0.25">
      <c r="A186">
        <f t="shared" si="7"/>
        <v>38</v>
      </c>
      <c r="B186" s="244" t="s">
        <v>1556</v>
      </c>
      <c r="C186" s="244" t="s">
        <v>2956</v>
      </c>
      <c r="D186" s="259" t="s">
        <v>3389</v>
      </c>
      <c r="E186" s="244" t="s">
        <v>1082</v>
      </c>
      <c r="F186" s="256">
        <v>1</v>
      </c>
      <c r="G186" s="256">
        <v>14.7</v>
      </c>
      <c r="H186" s="256">
        <v>18.36</v>
      </c>
    </row>
    <row r="187" spans="1:8" ht="15" customHeight="1" x14ac:dyDescent="0.25">
      <c r="A187">
        <f t="shared" si="7"/>
        <v>38</v>
      </c>
      <c r="B187" s="244" t="s">
        <v>1556</v>
      </c>
      <c r="C187" s="244" t="s">
        <v>2956</v>
      </c>
      <c r="D187" s="245" t="s">
        <v>3389</v>
      </c>
      <c r="E187" s="244" t="s">
        <v>1082</v>
      </c>
      <c r="F187" s="256">
        <v>17</v>
      </c>
      <c r="G187" s="256">
        <v>14.7</v>
      </c>
      <c r="H187" s="256">
        <v>18.36</v>
      </c>
    </row>
    <row r="188" spans="1:8" ht="15" customHeight="1" x14ac:dyDescent="0.25">
      <c r="A188">
        <f t="shared" si="7"/>
        <v>38</v>
      </c>
      <c r="B188" s="244" t="s">
        <v>1556</v>
      </c>
      <c r="C188" s="244" t="s">
        <v>2956</v>
      </c>
      <c r="D188" s="245" t="s">
        <v>3389</v>
      </c>
      <c r="E188" s="244" t="s">
        <v>1082</v>
      </c>
      <c r="F188" s="256">
        <v>4</v>
      </c>
      <c r="G188" s="256">
        <v>14.7</v>
      </c>
      <c r="H188" s="256">
        <v>18.36</v>
      </c>
    </row>
    <row r="189" spans="1:8" ht="15" customHeight="1" x14ac:dyDescent="0.25">
      <c r="A189">
        <f t="shared" si="7"/>
        <v>38</v>
      </c>
      <c r="B189" s="244" t="s">
        <v>1556</v>
      </c>
      <c r="C189" s="244" t="s">
        <v>2956</v>
      </c>
      <c r="D189" s="245" t="s">
        <v>3389</v>
      </c>
      <c r="E189" s="244" t="s">
        <v>1082</v>
      </c>
      <c r="F189" s="246">
        <v>1</v>
      </c>
      <c r="G189" s="246">
        <v>14.7</v>
      </c>
      <c r="H189" s="246">
        <v>18.36</v>
      </c>
    </row>
    <row r="190" spans="1:8" ht="15" customHeight="1" x14ac:dyDescent="0.25">
      <c r="A190">
        <f t="shared" si="7"/>
        <v>39</v>
      </c>
      <c r="B190" s="244" t="s">
        <v>1559</v>
      </c>
      <c r="C190" s="244" t="s">
        <v>2956</v>
      </c>
      <c r="D190" s="245" t="s">
        <v>3374</v>
      </c>
      <c r="E190" s="244" t="s">
        <v>1082</v>
      </c>
      <c r="F190" s="256">
        <v>2</v>
      </c>
      <c r="G190" s="256">
        <v>20.75</v>
      </c>
      <c r="H190" s="256">
        <v>25.92</v>
      </c>
    </row>
    <row r="191" spans="1:8" ht="15" customHeight="1" x14ac:dyDescent="0.25">
      <c r="A191">
        <f t="shared" si="7"/>
        <v>39</v>
      </c>
      <c r="B191" s="244" t="s">
        <v>1559</v>
      </c>
      <c r="C191" s="244" t="s">
        <v>2956</v>
      </c>
      <c r="D191" s="245" t="s">
        <v>3374</v>
      </c>
      <c r="E191" s="244" t="s">
        <v>1082</v>
      </c>
      <c r="F191" s="256">
        <v>2</v>
      </c>
      <c r="G191" s="256">
        <v>20.75</v>
      </c>
      <c r="H191" s="256">
        <v>25.92</v>
      </c>
    </row>
    <row r="192" spans="1:8" ht="15" customHeight="1" x14ac:dyDescent="0.25">
      <c r="A192">
        <f t="shared" si="7"/>
        <v>39</v>
      </c>
      <c r="B192" s="244" t="s">
        <v>1559</v>
      </c>
      <c r="C192" s="244" t="s">
        <v>2956</v>
      </c>
      <c r="D192" s="245" t="s">
        <v>3374</v>
      </c>
      <c r="E192" s="244" t="s">
        <v>1082</v>
      </c>
      <c r="F192" s="256">
        <v>4</v>
      </c>
      <c r="G192" s="256">
        <v>20.75</v>
      </c>
      <c r="H192" s="256">
        <v>25.92</v>
      </c>
    </row>
    <row r="193" spans="1:8" ht="15" customHeight="1" x14ac:dyDescent="0.25">
      <c r="A193">
        <f t="shared" si="7"/>
        <v>40</v>
      </c>
      <c r="B193" s="244" t="s">
        <v>1562</v>
      </c>
      <c r="C193" s="244" t="s">
        <v>2956</v>
      </c>
      <c r="D193" s="245" t="s">
        <v>3372</v>
      </c>
      <c r="E193" s="244" t="s">
        <v>1082</v>
      </c>
      <c r="F193" s="256">
        <v>8</v>
      </c>
      <c r="G193" s="256">
        <v>22.44</v>
      </c>
      <c r="H193" s="256">
        <v>28.03</v>
      </c>
    </row>
    <row r="194" spans="1:8" ht="15" customHeight="1" x14ac:dyDescent="0.25">
      <c r="A194">
        <f t="shared" si="7"/>
        <v>40</v>
      </c>
      <c r="B194" s="244" t="s">
        <v>1562</v>
      </c>
      <c r="C194" s="244" t="s">
        <v>2956</v>
      </c>
      <c r="D194" s="259" t="s">
        <v>3372</v>
      </c>
      <c r="E194" s="244" t="s">
        <v>1082</v>
      </c>
      <c r="F194" s="256">
        <v>2</v>
      </c>
      <c r="G194" s="256">
        <v>22.44</v>
      </c>
      <c r="H194" s="256">
        <v>28.03</v>
      </c>
    </row>
    <row r="195" spans="1:8" ht="15" customHeight="1" x14ac:dyDescent="0.25">
      <c r="A195">
        <f t="shared" si="7"/>
        <v>40</v>
      </c>
      <c r="B195" s="244" t="s">
        <v>1562</v>
      </c>
      <c r="C195" s="244" t="s">
        <v>2956</v>
      </c>
      <c r="D195" s="245" t="s">
        <v>3372</v>
      </c>
      <c r="E195" s="244" t="s">
        <v>1082</v>
      </c>
      <c r="F195" s="256">
        <v>8</v>
      </c>
      <c r="G195" s="256">
        <v>22.44</v>
      </c>
      <c r="H195" s="256">
        <v>28.03</v>
      </c>
    </row>
    <row r="196" spans="1:8" ht="15" customHeight="1" x14ac:dyDescent="0.25">
      <c r="A196">
        <f t="shared" si="7"/>
        <v>40</v>
      </c>
      <c r="B196" s="244" t="s">
        <v>1562</v>
      </c>
      <c r="C196" s="244" t="s">
        <v>2956</v>
      </c>
      <c r="D196" s="245" t="s">
        <v>3372</v>
      </c>
      <c r="E196" s="244" t="s">
        <v>1082</v>
      </c>
      <c r="F196" s="256">
        <v>4</v>
      </c>
      <c r="G196" s="256">
        <v>22.44</v>
      </c>
      <c r="H196" s="256">
        <v>28.03</v>
      </c>
    </row>
    <row r="197" spans="1:8" ht="15" customHeight="1" x14ac:dyDescent="0.25">
      <c r="A197">
        <f t="shared" si="7"/>
        <v>40</v>
      </c>
      <c r="B197" s="244" t="s">
        <v>1562</v>
      </c>
      <c r="C197" s="244" t="s">
        <v>2956</v>
      </c>
      <c r="D197" s="245" t="s">
        <v>3372</v>
      </c>
      <c r="E197" s="244" t="s">
        <v>1082</v>
      </c>
      <c r="F197" s="246">
        <v>40</v>
      </c>
      <c r="G197" s="246">
        <v>22.44</v>
      </c>
      <c r="H197" s="246">
        <v>28.03</v>
      </c>
    </row>
    <row r="198" spans="1:8" ht="15" customHeight="1" x14ac:dyDescent="0.25">
      <c r="A198">
        <f t="shared" si="7"/>
        <v>40</v>
      </c>
      <c r="B198" s="244" t="s">
        <v>1562</v>
      </c>
      <c r="C198" s="244" t="s">
        <v>2956</v>
      </c>
      <c r="D198" s="245" t="s">
        <v>3372</v>
      </c>
      <c r="E198" s="244" t="s">
        <v>1082</v>
      </c>
      <c r="F198" s="246">
        <v>32</v>
      </c>
      <c r="G198" s="246">
        <v>22.44</v>
      </c>
      <c r="H198" s="246">
        <v>28.03</v>
      </c>
    </row>
    <row r="199" spans="1:8" ht="15" customHeight="1" x14ac:dyDescent="0.25">
      <c r="A199">
        <f t="shared" si="7"/>
        <v>41</v>
      </c>
      <c r="B199" s="244" t="s">
        <v>1565</v>
      </c>
      <c r="C199" s="244" t="s">
        <v>2956</v>
      </c>
      <c r="D199" s="245" t="s">
        <v>3398</v>
      </c>
      <c r="E199" s="244" t="s">
        <v>1082</v>
      </c>
      <c r="F199" s="256">
        <v>8</v>
      </c>
      <c r="G199" s="256">
        <v>11.51</v>
      </c>
      <c r="H199" s="256">
        <v>14.38</v>
      </c>
    </row>
    <row r="200" spans="1:8" ht="15" customHeight="1" x14ac:dyDescent="0.25">
      <c r="A200">
        <f t="shared" si="7"/>
        <v>42</v>
      </c>
      <c r="B200" s="244" t="s">
        <v>1568</v>
      </c>
      <c r="C200" s="244" t="s">
        <v>2956</v>
      </c>
      <c r="D200" s="245" t="s">
        <v>3309</v>
      </c>
      <c r="E200" s="244" t="s">
        <v>473</v>
      </c>
      <c r="F200" s="256">
        <v>19.8</v>
      </c>
      <c r="G200" s="256">
        <v>23.39</v>
      </c>
      <c r="H200" s="256">
        <v>29.22</v>
      </c>
    </row>
    <row r="201" spans="1:8" ht="15" customHeight="1" x14ac:dyDescent="0.25">
      <c r="A201">
        <f t="shared" si="7"/>
        <v>42</v>
      </c>
      <c r="B201" s="244" t="s">
        <v>1568</v>
      </c>
      <c r="C201" s="244" t="s">
        <v>2956</v>
      </c>
      <c r="D201" s="245" t="s">
        <v>3309</v>
      </c>
      <c r="E201" s="244" t="s">
        <v>473</v>
      </c>
      <c r="F201" s="256">
        <v>7.48</v>
      </c>
      <c r="G201" s="256">
        <v>23.39</v>
      </c>
      <c r="H201" s="256">
        <v>29.22</v>
      </c>
    </row>
    <row r="202" spans="1:8" ht="15" customHeight="1" x14ac:dyDescent="0.25">
      <c r="A202">
        <f t="shared" si="7"/>
        <v>43</v>
      </c>
      <c r="B202" s="244" t="s">
        <v>1571</v>
      </c>
      <c r="C202" s="244" t="s">
        <v>504</v>
      </c>
      <c r="D202" s="245" t="s">
        <v>3384</v>
      </c>
      <c r="E202" s="244" t="s">
        <v>1082</v>
      </c>
      <c r="F202" s="256">
        <v>6</v>
      </c>
      <c r="G202" s="256">
        <v>6.36</v>
      </c>
      <c r="H202" s="256">
        <v>7.95</v>
      </c>
    </row>
    <row r="203" spans="1:8" ht="15" customHeight="1" x14ac:dyDescent="0.25">
      <c r="A203">
        <f t="shared" ref="A203:A216" si="8">IF(B203=B202,A202,A202+1)</f>
        <v>43</v>
      </c>
      <c r="B203" s="244" t="s">
        <v>1571</v>
      </c>
      <c r="C203" s="244" t="s">
        <v>504</v>
      </c>
      <c r="D203" s="259" t="s">
        <v>3384</v>
      </c>
      <c r="E203" s="244" t="s">
        <v>1082</v>
      </c>
      <c r="F203" s="256">
        <v>10</v>
      </c>
      <c r="G203" s="256">
        <v>6.36</v>
      </c>
      <c r="H203" s="256">
        <v>7.95</v>
      </c>
    </row>
    <row r="204" spans="1:8" ht="15" customHeight="1" x14ac:dyDescent="0.25">
      <c r="A204">
        <f t="shared" si="8"/>
        <v>43</v>
      </c>
      <c r="B204" s="244" t="s">
        <v>1571</v>
      </c>
      <c r="C204" s="244" t="s">
        <v>504</v>
      </c>
      <c r="D204" s="245" t="s">
        <v>3384</v>
      </c>
      <c r="E204" s="244" t="s">
        <v>1082</v>
      </c>
      <c r="F204" s="256">
        <v>2</v>
      </c>
      <c r="G204" s="256">
        <v>6.36</v>
      </c>
      <c r="H204" s="256">
        <v>7.95</v>
      </c>
    </row>
    <row r="205" spans="1:8" ht="15" customHeight="1" x14ac:dyDescent="0.25">
      <c r="A205">
        <f t="shared" si="8"/>
        <v>44</v>
      </c>
      <c r="B205" s="244" t="s">
        <v>1574</v>
      </c>
      <c r="C205" s="244" t="s">
        <v>504</v>
      </c>
      <c r="D205" s="245" t="s">
        <v>1575</v>
      </c>
      <c r="E205" s="244" t="s">
        <v>1082</v>
      </c>
      <c r="F205" s="256">
        <v>94</v>
      </c>
      <c r="G205" s="256">
        <v>35.75</v>
      </c>
      <c r="H205" s="256">
        <v>44.66</v>
      </c>
    </row>
    <row r="206" spans="1:8" ht="15" customHeight="1" x14ac:dyDescent="0.25">
      <c r="A206">
        <f t="shared" si="8"/>
        <v>44</v>
      </c>
      <c r="B206" s="244" t="s">
        <v>1574</v>
      </c>
      <c r="C206" s="244" t="s">
        <v>504</v>
      </c>
      <c r="D206" s="245" t="s">
        <v>1575</v>
      </c>
      <c r="E206" s="244" t="s">
        <v>1082</v>
      </c>
      <c r="F206" s="256">
        <v>5</v>
      </c>
      <c r="G206" s="257">
        <v>35.75</v>
      </c>
      <c r="H206" s="257">
        <v>44.66</v>
      </c>
    </row>
    <row r="207" spans="1:8" ht="15" customHeight="1" x14ac:dyDescent="0.25">
      <c r="A207">
        <f t="shared" si="8"/>
        <v>44</v>
      </c>
      <c r="B207" s="244" t="s">
        <v>1574</v>
      </c>
      <c r="C207" s="244" t="s">
        <v>504</v>
      </c>
      <c r="D207" s="259" t="s">
        <v>1575</v>
      </c>
      <c r="E207" s="244" t="s">
        <v>1082</v>
      </c>
      <c r="F207" s="256">
        <v>30</v>
      </c>
      <c r="G207" s="256">
        <v>35.75</v>
      </c>
      <c r="H207" s="256">
        <v>44.66</v>
      </c>
    </row>
    <row r="208" spans="1:8" ht="15" customHeight="1" x14ac:dyDescent="0.25">
      <c r="A208">
        <f t="shared" si="8"/>
        <v>44</v>
      </c>
      <c r="B208" s="244" t="s">
        <v>1574</v>
      </c>
      <c r="C208" s="244" t="s">
        <v>504</v>
      </c>
      <c r="D208" s="245" t="s">
        <v>1575</v>
      </c>
      <c r="E208" s="244" t="s">
        <v>1082</v>
      </c>
      <c r="F208" s="256">
        <v>22</v>
      </c>
      <c r="G208" s="256">
        <v>35.75</v>
      </c>
      <c r="H208" s="256">
        <v>44.66</v>
      </c>
    </row>
    <row r="209" spans="1:8" ht="15" customHeight="1" x14ac:dyDescent="0.25">
      <c r="A209">
        <f t="shared" si="8"/>
        <v>44</v>
      </c>
      <c r="B209" s="244" t="s">
        <v>1574</v>
      </c>
      <c r="C209" s="244" t="s">
        <v>504</v>
      </c>
      <c r="D209" s="247" t="s">
        <v>1575</v>
      </c>
      <c r="E209" s="244" t="s">
        <v>1082</v>
      </c>
      <c r="F209" s="256">
        <v>9</v>
      </c>
      <c r="G209" s="256">
        <v>35.75</v>
      </c>
      <c r="H209" s="256">
        <v>44.66</v>
      </c>
    </row>
    <row r="210" spans="1:8" ht="15" customHeight="1" x14ac:dyDescent="0.25">
      <c r="A210">
        <f t="shared" si="8"/>
        <v>44</v>
      </c>
      <c r="B210" s="244" t="s">
        <v>1574</v>
      </c>
      <c r="C210" s="244" t="s">
        <v>3164</v>
      </c>
      <c r="D210" s="245" t="s">
        <v>1575</v>
      </c>
      <c r="E210" s="244" t="s">
        <v>1082</v>
      </c>
      <c r="F210" s="256">
        <v>5</v>
      </c>
      <c r="G210" s="256">
        <v>35.75</v>
      </c>
      <c r="H210" s="256">
        <v>44.66</v>
      </c>
    </row>
    <row r="211" spans="1:8" ht="15" customHeight="1" x14ac:dyDescent="0.25">
      <c r="A211">
        <f t="shared" si="8"/>
        <v>44</v>
      </c>
      <c r="B211" s="244" t="s">
        <v>1574</v>
      </c>
      <c r="C211" s="244" t="s">
        <v>504</v>
      </c>
      <c r="D211" s="245" t="s">
        <v>1575</v>
      </c>
      <c r="E211" s="244" t="s">
        <v>1082</v>
      </c>
      <c r="F211" s="246">
        <v>87</v>
      </c>
      <c r="G211" s="246">
        <v>35.75</v>
      </c>
      <c r="H211" s="246">
        <v>44.66</v>
      </c>
    </row>
    <row r="212" spans="1:8" ht="15" customHeight="1" x14ac:dyDescent="0.25">
      <c r="A212">
        <f t="shared" si="8"/>
        <v>44</v>
      </c>
      <c r="B212" s="244" t="s">
        <v>1574</v>
      </c>
      <c r="C212" s="244" t="s">
        <v>504</v>
      </c>
      <c r="D212" s="245" t="s">
        <v>1575</v>
      </c>
      <c r="E212" s="244" t="s">
        <v>1082</v>
      </c>
      <c r="F212" s="246">
        <v>74</v>
      </c>
      <c r="G212" s="246">
        <v>35.75</v>
      </c>
      <c r="H212" s="246">
        <v>44.66</v>
      </c>
    </row>
    <row r="213" spans="1:8" ht="15" customHeight="1" x14ac:dyDescent="0.25">
      <c r="A213">
        <f t="shared" si="8"/>
        <v>45</v>
      </c>
      <c r="B213" s="244" t="s">
        <v>1577</v>
      </c>
      <c r="C213" s="244" t="s">
        <v>504</v>
      </c>
      <c r="D213" s="245" t="s">
        <v>1578</v>
      </c>
      <c r="E213" s="244" t="s">
        <v>1082</v>
      </c>
      <c r="F213" s="246">
        <v>36</v>
      </c>
      <c r="G213" s="246">
        <v>172.26</v>
      </c>
      <c r="H213" s="246">
        <v>215.2</v>
      </c>
    </row>
    <row r="214" spans="1:8" ht="15" customHeight="1" x14ac:dyDescent="0.25">
      <c r="A214">
        <f t="shared" si="8"/>
        <v>46</v>
      </c>
      <c r="B214" s="244" t="s">
        <v>1580</v>
      </c>
      <c r="C214" s="244" t="s">
        <v>504</v>
      </c>
      <c r="D214" s="245" t="s">
        <v>1581</v>
      </c>
      <c r="E214" s="244" t="s">
        <v>1082</v>
      </c>
      <c r="F214" s="256">
        <v>3</v>
      </c>
      <c r="G214" s="256">
        <v>37.78</v>
      </c>
      <c r="H214" s="256">
        <v>47.2</v>
      </c>
    </row>
    <row r="215" spans="1:8" ht="15" customHeight="1" x14ac:dyDescent="0.25">
      <c r="A215">
        <f t="shared" si="8"/>
        <v>46</v>
      </c>
      <c r="B215" s="244" t="s">
        <v>1580</v>
      </c>
      <c r="C215" s="244" t="s">
        <v>504</v>
      </c>
      <c r="D215" s="245" t="s">
        <v>1581</v>
      </c>
      <c r="E215" s="244" t="s">
        <v>1082</v>
      </c>
      <c r="F215" s="256">
        <v>2</v>
      </c>
      <c r="G215" s="256">
        <v>37.78</v>
      </c>
      <c r="H215" s="256">
        <v>47.2</v>
      </c>
    </row>
    <row r="216" spans="1:8" ht="15" customHeight="1" x14ac:dyDescent="0.25">
      <c r="A216">
        <f t="shared" si="8"/>
        <v>46</v>
      </c>
      <c r="B216" s="244" t="s">
        <v>1580</v>
      </c>
      <c r="C216" s="244" t="s">
        <v>504</v>
      </c>
      <c r="D216" s="245" t="s">
        <v>1581</v>
      </c>
      <c r="E216" s="244" t="s">
        <v>1082</v>
      </c>
      <c r="F216" s="246">
        <v>2</v>
      </c>
      <c r="G216" s="246">
        <v>37.78</v>
      </c>
      <c r="H216" s="246">
        <v>47.2</v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/>
  <dimension ref="B3:F134"/>
  <sheetViews>
    <sheetView workbookViewId="0">
      <selection activeCell="C121" sqref="C121"/>
    </sheetView>
  </sheetViews>
  <sheetFormatPr defaultRowHeight="15.75" x14ac:dyDescent="0.25"/>
  <cols>
    <col min="3" max="3" width="78.875" customWidth="1"/>
  </cols>
  <sheetData>
    <row r="3" spans="2:6" ht="22.5" x14ac:dyDescent="0.25">
      <c r="B3" s="245" t="s">
        <v>1219</v>
      </c>
      <c r="C3" s="270" t="s">
        <v>3185</v>
      </c>
      <c r="D3" s="279" t="s">
        <v>473</v>
      </c>
      <c r="E3" s="244">
        <v>38.020000000000003</v>
      </c>
      <c r="F3" s="246">
        <v>20.059999999999999</v>
      </c>
    </row>
    <row r="4" spans="2:6" x14ac:dyDescent="0.25">
      <c r="B4" s="245" t="s">
        <v>3114</v>
      </c>
      <c r="C4" s="270" t="s">
        <v>3115</v>
      </c>
      <c r="D4" s="279" t="s">
        <v>1082</v>
      </c>
      <c r="E4" s="244">
        <v>12</v>
      </c>
      <c r="F4" s="246">
        <v>368.97</v>
      </c>
    </row>
    <row r="5" spans="2:6" x14ac:dyDescent="0.25">
      <c r="B5" s="245" t="s">
        <v>1148</v>
      </c>
      <c r="C5" s="270" t="s">
        <v>3195</v>
      </c>
      <c r="D5" s="279" t="s">
        <v>473</v>
      </c>
      <c r="E5" s="244">
        <v>6</v>
      </c>
      <c r="F5" s="246">
        <v>3</v>
      </c>
    </row>
    <row r="6" spans="2:6" x14ac:dyDescent="0.25">
      <c r="B6" s="245" t="s">
        <v>3071</v>
      </c>
      <c r="C6" s="270" t="s">
        <v>3072</v>
      </c>
      <c r="D6" s="279" t="s">
        <v>1082</v>
      </c>
      <c r="E6" s="244">
        <v>112</v>
      </c>
      <c r="F6" s="246">
        <v>195.08</v>
      </c>
    </row>
    <row r="7" spans="2:6" x14ac:dyDescent="0.25">
      <c r="B7" s="245" t="s">
        <v>1240</v>
      </c>
      <c r="C7" s="270" t="s">
        <v>3077</v>
      </c>
      <c r="D7" s="279" t="s">
        <v>1082</v>
      </c>
      <c r="E7" s="244">
        <v>5</v>
      </c>
      <c r="F7" s="246">
        <v>1878.84</v>
      </c>
    </row>
    <row r="8" spans="2:6" x14ac:dyDescent="0.25">
      <c r="B8" s="245" t="s">
        <v>1438</v>
      </c>
      <c r="C8" s="270" t="s">
        <v>1439</v>
      </c>
      <c r="D8" s="279" t="s">
        <v>1082</v>
      </c>
      <c r="E8" s="244">
        <v>2</v>
      </c>
      <c r="F8" s="246">
        <v>34.5</v>
      </c>
    </row>
    <row r="9" spans="2:6" x14ac:dyDescent="0.25">
      <c r="B9" s="245" t="s">
        <v>1426</v>
      </c>
      <c r="C9" s="270" t="s">
        <v>1427</v>
      </c>
      <c r="D9" s="279" t="s">
        <v>1082</v>
      </c>
      <c r="E9" s="244">
        <v>2</v>
      </c>
      <c r="F9" s="246">
        <v>12630.88</v>
      </c>
    </row>
    <row r="10" spans="2:6" x14ac:dyDescent="0.25">
      <c r="B10" s="245" t="s">
        <v>1159</v>
      </c>
      <c r="C10" s="270" t="s">
        <v>3229</v>
      </c>
      <c r="D10" s="279" t="s">
        <v>1082</v>
      </c>
      <c r="E10" s="244">
        <v>2</v>
      </c>
      <c r="F10" s="246">
        <v>3927.44</v>
      </c>
    </row>
    <row r="11" spans="2:6" x14ac:dyDescent="0.25">
      <c r="B11" s="245" t="s">
        <v>1384</v>
      </c>
      <c r="C11" s="270" t="s">
        <v>3261</v>
      </c>
      <c r="D11" s="279" t="s">
        <v>1082</v>
      </c>
      <c r="E11" s="244">
        <v>1</v>
      </c>
      <c r="F11" s="246">
        <v>22.74</v>
      </c>
    </row>
    <row r="12" spans="2:6" x14ac:dyDescent="0.25">
      <c r="B12" s="245" t="s">
        <v>1381</v>
      </c>
      <c r="C12" s="270" t="s">
        <v>3260</v>
      </c>
      <c r="D12" s="279" t="s">
        <v>1082</v>
      </c>
      <c r="E12" s="244">
        <v>5</v>
      </c>
      <c r="F12" s="246">
        <v>13.19</v>
      </c>
    </row>
    <row r="13" spans="2:6" x14ac:dyDescent="0.25">
      <c r="B13" s="245" t="s">
        <v>1399</v>
      </c>
      <c r="C13" s="270" t="s">
        <v>3271</v>
      </c>
      <c r="D13" s="279" t="s">
        <v>1082</v>
      </c>
      <c r="E13" s="244">
        <v>2</v>
      </c>
      <c r="F13" s="246">
        <v>12.69</v>
      </c>
    </row>
    <row r="14" spans="2:6" x14ac:dyDescent="0.25">
      <c r="B14" s="245" t="s">
        <v>1396</v>
      </c>
      <c r="C14" s="270" t="s">
        <v>3270</v>
      </c>
      <c r="D14" s="279" t="s">
        <v>1082</v>
      </c>
      <c r="E14" s="244">
        <v>2</v>
      </c>
      <c r="F14" s="246">
        <v>20.170000000000002</v>
      </c>
    </row>
    <row r="15" spans="2:6" x14ac:dyDescent="0.25">
      <c r="B15" s="245" t="s">
        <v>1402</v>
      </c>
      <c r="C15" s="270" t="s">
        <v>3272</v>
      </c>
      <c r="D15" s="279" t="s">
        <v>1082</v>
      </c>
      <c r="E15" s="244">
        <v>2</v>
      </c>
      <c r="F15" s="246">
        <v>98.26</v>
      </c>
    </row>
    <row r="16" spans="2:6" x14ac:dyDescent="0.25">
      <c r="B16" s="245" t="s">
        <v>1080</v>
      </c>
      <c r="C16" s="270" t="s">
        <v>3211</v>
      </c>
      <c r="D16" s="279" t="s">
        <v>1082</v>
      </c>
      <c r="E16" s="244">
        <v>2</v>
      </c>
      <c r="F16" s="246">
        <v>19.940000000000001</v>
      </c>
    </row>
    <row r="17" spans="2:6" x14ac:dyDescent="0.25">
      <c r="B17" s="245" t="s">
        <v>1084</v>
      </c>
      <c r="C17" s="270" t="s">
        <v>3238</v>
      </c>
      <c r="D17" s="279" t="s">
        <v>1082</v>
      </c>
      <c r="E17" s="244">
        <v>4</v>
      </c>
      <c r="F17" s="246">
        <v>50.58</v>
      </c>
    </row>
    <row r="18" spans="2:6" x14ac:dyDescent="0.25">
      <c r="B18" s="245" t="s">
        <v>1087</v>
      </c>
      <c r="C18" s="270" t="s">
        <v>3197</v>
      </c>
      <c r="D18" s="279" t="s">
        <v>1082</v>
      </c>
      <c r="E18" s="244">
        <v>3</v>
      </c>
      <c r="F18" s="246">
        <v>50.58</v>
      </c>
    </row>
    <row r="19" spans="2:6" x14ac:dyDescent="0.25">
      <c r="B19" s="245" t="s">
        <v>1366</v>
      </c>
      <c r="C19" s="270" t="s">
        <v>3107</v>
      </c>
      <c r="D19" s="279" t="s">
        <v>1082</v>
      </c>
      <c r="E19" s="244">
        <v>1</v>
      </c>
      <c r="F19" s="246">
        <v>19.38</v>
      </c>
    </row>
    <row r="20" spans="2:6" x14ac:dyDescent="0.25">
      <c r="B20" s="245" t="s">
        <v>1354</v>
      </c>
      <c r="C20" s="270" t="s">
        <v>3004</v>
      </c>
      <c r="D20" s="279" t="s">
        <v>1082</v>
      </c>
      <c r="E20" s="244">
        <v>1</v>
      </c>
      <c r="F20" s="246">
        <v>26.39</v>
      </c>
    </row>
    <row r="21" spans="2:6" x14ac:dyDescent="0.25">
      <c r="B21" s="245" t="s">
        <v>1357</v>
      </c>
      <c r="C21" s="270" t="s">
        <v>3006</v>
      </c>
      <c r="D21" s="279" t="s">
        <v>1082</v>
      </c>
      <c r="E21" s="244">
        <v>7</v>
      </c>
      <c r="F21" s="246">
        <v>14.83</v>
      </c>
    </row>
    <row r="22" spans="2:6" ht="22.5" x14ac:dyDescent="0.25">
      <c r="B22" s="245" t="s">
        <v>1237</v>
      </c>
      <c r="C22" s="270" t="s">
        <v>3044</v>
      </c>
      <c r="D22" s="279" t="s">
        <v>1082</v>
      </c>
      <c r="E22" s="244">
        <v>18</v>
      </c>
      <c r="F22" s="246">
        <v>466.74</v>
      </c>
    </row>
    <row r="23" spans="2:6" ht="22.5" x14ac:dyDescent="0.25">
      <c r="B23" s="245" t="s">
        <v>1348</v>
      </c>
      <c r="C23" s="270" t="s">
        <v>3050</v>
      </c>
      <c r="D23" s="279" t="s">
        <v>1082</v>
      </c>
      <c r="E23" s="244">
        <v>1</v>
      </c>
      <c r="F23" s="246">
        <v>351.84</v>
      </c>
    </row>
    <row r="24" spans="2:6" ht="22.5" x14ac:dyDescent="0.25">
      <c r="B24" s="245" t="s">
        <v>1345</v>
      </c>
      <c r="C24" s="270" t="s">
        <v>3048</v>
      </c>
      <c r="D24" s="279" t="s">
        <v>1082</v>
      </c>
      <c r="E24" s="244">
        <v>2</v>
      </c>
      <c r="F24" s="246">
        <v>662.41</v>
      </c>
    </row>
    <row r="25" spans="2:6" ht="22.5" x14ac:dyDescent="0.25">
      <c r="B25" s="245" t="s">
        <v>1342</v>
      </c>
      <c r="C25" s="270" t="s">
        <v>3046</v>
      </c>
      <c r="D25" s="279" t="s">
        <v>1082</v>
      </c>
      <c r="E25" s="244">
        <v>2</v>
      </c>
      <c r="F25" s="246">
        <v>713.38</v>
      </c>
    </row>
    <row r="26" spans="2:6" x14ac:dyDescent="0.25">
      <c r="B26" s="245" t="s">
        <v>1417</v>
      </c>
      <c r="C26" s="270" t="s">
        <v>3249</v>
      </c>
      <c r="D26" s="279" t="s">
        <v>1082</v>
      </c>
      <c r="E26" s="244">
        <v>2</v>
      </c>
      <c r="F26" s="246">
        <v>71.33</v>
      </c>
    </row>
    <row r="27" spans="2:6" x14ac:dyDescent="0.25">
      <c r="B27" s="245" t="s">
        <v>1243</v>
      </c>
      <c r="C27" s="270" t="s">
        <v>2965</v>
      </c>
      <c r="D27" s="279" t="s">
        <v>1082</v>
      </c>
      <c r="E27" s="244">
        <v>120</v>
      </c>
      <c r="F27" s="246">
        <v>7.54</v>
      </c>
    </row>
    <row r="28" spans="2:6" x14ac:dyDescent="0.25">
      <c r="B28" s="245" t="s">
        <v>1249</v>
      </c>
      <c r="C28" s="270" t="s">
        <v>2967</v>
      </c>
      <c r="D28" s="279" t="s">
        <v>1082</v>
      </c>
      <c r="E28" s="244">
        <v>12</v>
      </c>
      <c r="F28" s="246">
        <v>12.51</v>
      </c>
    </row>
    <row r="29" spans="2:6" x14ac:dyDescent="0.25">
      <c r="B29" s="245" t="s">
        <v>1246</v>
      </c>
      <c r="C29" s="270" t="s">
        <v>3257</v>
      </c>
      <c r="D29" s="279" t="s">
        <v>1082</v>
      </c>
      <c r="E29" s="244">
        <v>9</v>
      </c>
      <c r="F29" s="246">
        <v>24.4</v>
      </c>
    </row>
    <row r="30" spans="2:6" x14ac:dyDescent="0.25">
      <c r="B30" s="245" t="s">
        <v>1154</v>
      </c>
      <c r="C30" s="270" t="s">
        <v>3176</v>
      </c>
      <c r="D30" s="279" t="s">
        <v>1082</v>
      </c>
      <c r="E30" s="244">
        <v>1</v>
      </c>
      <c r="F30" s="246">
        <v>146.16</v>
      </c>
    </row>
    <row r="31" spans="2:6" x14ac:dyDescent="0.25">
      <c r="B31" s="245" t="s">
        <v>1375</v>
      </c>
      <c r="C31" s="270" t="s">
        <v>3233</v>
      </c>
      <c r="D31" s="279" t="s">
        <v>1082</v>
      </c>
      <c r="E31" s="244">
        <v>1</v>
      </c>
      <c r="F31" s="246">
        <v>439.19</v>
      </c>
    </row>
    <row r="32" spans="2:6" ht="22.5" x14ac:dyDescent="0.25">
      <c r="B32" s="245" t="s">
        <v>1216</v>
      </c>
      <c r="C32" s="270" t="s">
        <v>2961</v>
      </c>
      <c r="D32" s="279" t="s">
        <v>473</v>
      </c>
      <c r="E32" s="244">
        <v>4922.83</v>
      </c>
      <c r="F32" s="246">
        <v>7.28</v>
      </c>
    </row>
    <row r="33" spans="2:6" x14ac:dyDescent="0.25">
      <c r="B33" s="245" t="s">
        <v>1339</v>
      </c>
      <c r="C33" s="270" t="s">
        <v>3079</v>
      </c>
      <c r="D33" s="279" t="s">
        <v>1082</v>
      </c>
      <c r="E33" s="244">
        <v>107</v>
      </c>
      <c r="F33" s="246">
        <v>87.71</v>
      </c>
    </row>
    <row r="34" spans="2:6" ht="22.5" x14ac:dyDescent="0.25">
      <c r="B34" s="245" t="s">
        <v>3085</v>
      </c>
      <c r="C34" s="270" t="s">
        <v>3086</v>
      </c>
      <c r="D34" s="279" t="s">
        <v>1082</v>
      </c>
      <c r="E34" s="244">
        <v>15</v>
      </c>
      <c r="F34" s="246">
        <v>762.68</v>
      </c>
    </row>
    <row r="35" spans="2:6" x14ac:dyDescent="0.25">
      <c r="B35" s="245" t="s">
        <v>1411</v>
      </c>
      <c r="C35" s="270" t="s">
        <v>3279</v>
      </c>
      <c r="D35" s="279" t="s">
        <v>1082</v>
      </c>
      <c r="E35" s="244">
        <v>4</v>
      </c>
      <c r="F35" s="246">
        <v>63.26</v>
      </c>
    </row>
    <row r="36" spans="2:6" x14ac:dyDescent="0.25">
      <c r="B36" s="245" t="s">
        <v>1351</v>
      </c>
      <c r="C36" s="270" t="s">
        <v>3067</v>
      </c>
      <c r="D36" s="279" t="s">
        <v>1082</v>
      </c>
      <c r="E36" s="244">
        <v>2</v>
      </c>
      <c r="F36" s="246">
        <v>70.52</v>
      </c>
    </row>
    <row r="37" spans="2:6" x14ac:dyDescent="0.25">
      <c r="B37" s="245" t="s">
        <v>1414</v>
      </c>
      <c r="C37" s="270" t="s">
        <v>3278</v>
      </c>
      <c r="D37" s="279" t="s">
        <v>1082</v>
      </c>
      <c r="E37" s="244">
        <v>24</v>
      </c>
      <c r="F37" s="246">
        <v>106.9</v>
      </c>
    </row>
    <row r="38" spans="2:6" x14ac:dyDescent="0.25">
      <c r="B38" s="245" t="s">
        <v>1405</v>
      </c>
      <c r="C38" s="270" t="s">
        <v>3276</v>
      </c>
      <c r="D38" s="279" t="s">
        <v>1082</v>
      </c>
      <c r="E38" s="244">
        <v>2</v>
      </c>
      <c r="F38" s="246">
        <v>454.3</v>
      </c>
    </row>
    <row r="39" spans="2:6" x14ac:dyDescent="0.25">
      <c r="B39" s="245" t="s">
        <v>1408</v>
      </c>
      <c r="C39" s="270" t="s">
        <v>3277</v>
      </c>
      <c r="D39" s="279" t="s">
        <v>1082</v>
      </c>
      <c r="E39" s="244">
        <v>4</v>
      </c>
      <c r="F39" s="246">
        <v>411.83</v>
      </c>
    </row>
    <row r="40" spans="2:6" x14ac:dyDescent="0.25">
      <c r="B40" s="245" t="s">
        <v>1363</v>
      </c>
      <c r="C40" s="270" t="s">
        <v>3012</v>
      </c>
      <c r="D40" s="279" t="s">
        <v>1082</v>
      </c>
      <c r="E40" s="244">
        <v>20</v>
      </c>
      <c r="F40" s="246">
        <v>34.119999999999997</v>
      </c>
    </row>
    <row r="41" spans="2:6" x14ac:dyDescent="0.25">
      <c r="B41" s="245" t="s">
        <v>1360</v>
      </c>
      <c r="C41" s="270" t="s">
        <v>3010</v>
      </c>
      <c r="D41" s="279" t="s">
        <v>1082</v>
      </c>
      <c r="E41" s="244">
        <v>72</v>
      </c>
      <c r="F41" s="246">
        <v>31.74</v>
      </c>
    </row>
    <row r="42" spans="2:6" x14ac:dyDescent="0.25">
      <c r="B42" s="245" t="s">
        <v>1090</v>
      </c>
      <c r="C42" s="270" t="s">
        <v>3221</v>
      </c>
      <c r="D42" s="279" t="s">
        <v>1082</v>
      </c>
      <c r="E42" s="244">
        <v>5</v>
      </c>
      <c r="F42" s="246">
        <v>59.82</v>
      </c>
    </row>
    <row r="43" spans="2:6" x14ac:dyDescent="0.25">
      <c r="B43" s="245" t="s">
        <v>1093</v>
      </c>
      <c r="C43" s="270" t="s">
        <v>3199</v>
      </c>
      <c r="D43" s="279" t="s">
        <v>1082</v>
      </c>
      <c r="E43" s="244">
        <v>2</v>
      </c>
      <c r="F43" s="246">
        <v>114.19</v>
      </c>
    </row>
    <row r="44" spans="2:6" x14ac:dyDescent="0.25">
      <c r="B44" s="245" t="s">
        <v>3273</v>
      </c>
      <c r="C44" s="270" t="s">
        <v>3274</v>
      </c>
      <c r="D44" s="279" t="s">
        <v>1082</v>
      </c>
      <c r="E44" s="244">
        <v>2</v>
      </c>
      <c r="F44" s="246">
        <v>140.1</v>
      </c>
    </row>
    <row r="45" spans="2:6" x14ac:dyDescent="0.25">
      <c r="B45" s="245" t="s">
        <v>1138</v>
      </c>
      <c r="C45" s="270" t="s">
        <v>3246</v>
      </c>
      <c r="D45" s="279" t="s">
        <v>1082</v>
      </c>
      <c r="E45" s="244">
        <v>6</v>
      </c>
      <c r="F45" s="246">
        <v>130.66999999999999</v>
      </c>
    </row>
    <row r="46" spans="2:6" ht="22.5" x14ac:dyDescent="0.25">
      <c r="B46" s="245" t="s">
        <v>1225</v>
      </c>
      <c r="C46" s="270" t="s">
        <v>3052</v>
      </c>
      <c r="D46" s="279" t="s">
        <v>1082</v>
      </c>
      <c r="E46" s="244">
        <v>118</v>
      </c>
      <c r="F46" s="246">
        <v>12.13</v>
      </c>
    </row>
    <row r="47" spans="2:6" ht="22.5" x14ac:dyDescent="0.25">
      <c r="B47" s="245" t="s">
        <v>1228</v>
      </c>
      <c r="C47" s="270" t="s">
        <v>3054</v>
      </c>
      <c r="D47" s="279" t="s">
        <v>1082</v>
      </c>
      <c r="E47" s="244">
        <v>14</v>
      </c>
      <c r="F47" s="246">
        <v>17.670000000000002</v>
      </c>
    </row>
    <row r="48" spans="2:6" ht="22.5" x14ac:dyDescent="0.25">
      <c r="B48" s="245" t="s">
        <v>1222</v>
      </c>
      <c r="C48" s="270" t="s">
        <v>3056</v>
      </c>
      <c r="D48" s="279" t="s">
        <v>1082</v>
      </c>
      <c r="E48" s="244">
        <v>4</v>
      </c>
      <c r="F48" s="246">
        <v>30.91</v>
      </c>
    </row>
    <row r="49" spans="2:6" x14ac:dyDescent="0.25">
      <c r="B49" s="245" t="s">
        <v>1252</v>
      </c>
      <c r="C49" s="270" t="s">
        <v>2969</v>
      </c>
      <c r="D49" s="279" t="s">
        <v>1082</v>
      </c>
      <c r="E49" s="244">
        <v>1</v>
      </c>
      <c r="F49" s="246">
        <v>27.27</v>
      </c>
    </row>
    <row r="50" spans="2:6" ht="22.5" x14ac:dyDescent="0.25">
      <c r="B50" s="245" t="s">
        <v>1231</v>
      </c>
      <c r="C50" s="270" t="s">
        <v>3108</v>
      </c>
      <c r="D50" s="279" t="s">
        <v>1082</v>
      </c>
      <c r="E50" s="244">
        <v>8</v>
      </c>
      <c r="F50" s="246">
        <v>12.02</v>
      </c>
    </row>
    <row r="51" spans="2:6" ht="22.5" x14ac:dyDescent="0.25">
      <c r="B51" s="245" t="s">
        <v>1234</v>
      </c>
      <c r="C51" s="270" t="s">
        <v>3280</v>
      </c>
      <c r="D51" s="279" t="s">
        <v>1082</v>
      </c>
      <c r="E51" s="244">
        <v>32</v>
      </c>
      <c r="F51" s="246">
        <v>15.65</v>
      </c>
    </row>
    <row r="52" spans="2:6" x14ac:dyDescent="0.25">
      <c r="B52" s="245" t="s">
        <v>1255</v>
      </c>
      <c r="C52" s="270" t="s">
        <v>3083</v>
      </c>
      <c r="D52" s="279" t="s">
        <v>1082</v>
      </c>
      <c r="E52" s="244">
        <v>108</v>
      </c>
      <c r="F52" s="246">
        <v>58.28</v>
      </c>
    </row>
    <row r="53" spans="2:6" x14ac:dyDescent="0.25">
      <c r="B53" s="245" t="s">
        <v>1258</v>
      </c>
      <c r="C53" s="270" t="s">
        <v>3088</v>
      </c>
      <c r="D53" s="279" t="s">
        <v>1082</v>
      </c>
      <c r="E53" s="244">
        <v>24</v>
      </c>
      <c r="F53" s="246">
        <v>182.59</v>
      </c>
    </row>
    <row r="54" spans="2:6" x14ac:dyDescent="0.25">
      <c r="B54" s="245" t="s">
        <v>1435</v>
      </c>
      <c r="C54" s="270" t="s">
        <v>1436</v>
      </c>
      <c r="D54" s="279" t="s">
        <v>1082</v>
      </c>
      <c r="E54" s="244">
        <v>1</v>
      </c>
      <c r="F54" s="246">
        <v>414.75</v>
      </c>
    </row>
    <row r="55" spans="2:6" ht="22.5" x14ac:dyDescent="0.25">
      <c r="B55" s="245" t="s">
        <v>1186</v>
      </c>
      <c r="C55" s="270" t="s">
        <v>2971</v>
      </c>
      <c r="D55" s="279" t="s">
        <v>1082</v>
      </c>
      <c r="E55" s="244">
        <v>6</v>
      </c>
      <c r="F55" s="246">
        <v>2.99</v>
      </c>
    </row>
    <row r="56" spans="2:6" ht="22.5" x14ac:dyDescent="0.25">
      <c r="B56" s="245" t="s">
        <v>1192</v>
      </c>
      <c r="C56" s="270" t="s">
        <v>2973</v>
      </c>
      <c r="D56" s="279" t="s">
        <v>1082</v>
      </c>
      <c r="E56" s="244">
        <v>17</v>
      </c>
      <c r="F56" s="246">
        <v>8.2100000000000009</v>
      </c>
    </row>
    <row r="57" spans="2:6" ht="22.5" x14ac:dyDescent="0.25">
      <c r="B57" s="245" t="s">
        <v>1168</v>
      </c>
      <c r="C57" s="270" t="s">
        <v>2981</v>
      </c>
      <c r="D57" s="279" t="s">
        <v>1082</v>
      </c>
      <c r="E57" s="244">
        <v>402</v>
      </c>
      <c r="F57" s="246">
        <v>8.65</v>
      </c>
    </row>
    <row r="58" spans="2:6" ht="22.5" x14ac:dyDescent="0.25">
      <c r="B58" s="245" t="s">
        <v>1165</v>
      </c>
      <c r="C58" s="270" t="s">
        <v>2975</v>
      </c>
      <c r="D58" s="279" t="s">
        <v>1082</v>
      </c>
      <c r="E58" s="244">
        <v>617</v>
      </c>
      <c r="F58" s="246">
        <v>4.88</v>
      </c>
    </row>
    <row r="59" spans="2:6" ht="22.5" x14ac:dyDescent="0.25">
      <c r="B59" s="245" t="s">
        <v>1189</v>
      </c>
      <c r="C59" s="270" t="s">
        <v>2977</v>
      </c>
      <c r="D59" s="279" t="s">
        <v>1082</v>
      </c>
      <c r="E59" s="244">
        <v>106</v>
      </c>
      <c r="F59" s="246">
        <v>7.18</v>
      </c>
    </row>
    <row r="60" spans="2:6" ht="22.5" x14ac:dyDescent="0.25">
      <c r="B60" s="245" t="s">
        <v>1195</v>
      </c>
      <c r="C60" s="270" t="s">
        <v>2979</v>
      </c>
      <c r="D60" s="279" t="s">
        <v>1082</v>
      </c>
      <c r="E60" s="244">
        <v>31</v>
      </c>
      <c r="F60" s="246">
        <v>19.350000000000001</v>
      </c>
    </row>
    <row r="61" spans="2:6" ht="22.5" x14ac:dyDescent="0.25">
      <c r="B61" s="245" t="s">
        <v>1198</v>
      </c>
      <c r="C61" s="270" t="s">
        <v>3258</v>
      </c>
      <c r="D61" s="279" t="s">
        <v>1082</v>
      </c>
      <c r="E61" s="244">
        <v>2</v>
      </c>
      <c r="F61" s="246">
        <v>52.69</v>
      </c>
    </row>
    <row r="62" spans="2:6" x14ac:dyDescent="0.25">
      <c r="B62" s="245" t="s">
        <v>1429</v>
      </c>
      <c r="C62" s="270" t="s">
        <v>1430</v>
      </c>
      <c r="D62" s="279" t="s">
        <v>1082</v>
      </c>
      <c r="E62" s="244">
        <v>3</v>
      </c>
      <c r="F62" s="246">
        <v>143.72</v>
      </c>
    </row>
    <row r="63" spans="2:6" x14ac:dyDescent="0.25">
      <c r="B63" s="245" t="s">
        <v>1261</v>
      </c>
      <c r="C63" s="270" t="s">
        <v>3103</v>
      </c>
      <c r="D63" s="279" t="s">
        <v>1082</v>
      </c>
      <c r="E63" s="244">
        <v>1</v>
      </c>
      <c r="F63" s="246">
        <v>26.19</v>
      </c>
    </row>
    <row r="64" spans="2:6" x14ac:dyDescent="0.25">
      <c r="B64" s="245" t="s">
        <v>1264</v>
      </c>
      <c r="C64" s="270" t="s">
        <v>3262</v>
      </c>
      <c r="D64" s="279" t="s">
        <v>1082</v>
      </c>
      <c r="E64" s="244">
        <v>1</v>
      </c>
      <c r="F64" s="246">
        <v>121.83</v>
      </c>
    </row>
    <row r="65" spans="2:6" x14ac:dyDescent="0.25">
      <c r="B65" s="245" t="s">
        <v>1096</v>
      </c>
      <c r="C65" s="270" t="s">
        <v>3183</v>
      </c>
      <c r="D65" s="279" t="s">
        <v>1082</v>
      </c>
      <c r="E65" s="244">
        <v>4</v>
      </c>
      <c r="F65" s="246">
        <v>2.87</v>
      </c>
    </row>
    <row r="66" spans="2:6" ht="22.5" x14ac:dyDescent="0.25">
      <c r="B66" s="245" t="s">
        <v>1204</v>
      </c>
      <c r="C66" s="270" t="s">
        <v>3081</v>
      </c>
      <c r="D66" s="279" t="s">
        <v>1082</v>
      </c>
      <c r="E66" s="244">
        <v>106</v>
      </c>
      <c r="F66" s="246">
        <v>184.57</v>
      </c>
    </row>
    <row r="67" spans="2:6" ht="33.75" x14ac:dyDescent="0.25">
      <c r="B67" s="245" t="s">
        <v>3090</v>
      </c>
      <c r="C67" s="270" t="s">
        <v>3091</v>
      </c>
      <c r="D67" s="279" t="s">
        <v>1082</v>
      </c>
      <c r="E67" s="244">
        <v>342</v>
      </c>
      <c r="F67" s="246">
        <v>399.47</v>
      </c>
    </row>
    <row r="68" spans="2:6" ht="22.5" x14ac:dyDescent="0.25">
      <c r="B68" s="245" t="s">
        <v>1174</v>
      </c>
      <c r="C68" s="270" t="s">
        <v>2983</v>
      </c>
      <c r="D68" s="279" t="s">
        <v>1082</v>
      </c>
      <c r="E68" s="244">
        <v>18</v>
      </c>
      <c r="F68" s="246">
        <v>7.15</v>
      </c>
    </row>
    <row r="69" spans="2:6" ht="22.5" x14ac:dyDescent="0.25">
      <c r="B69" s="245" t="s">
        <v>1171</v>
      </c>
      <c r="C69" s="270" t="s">
        <v>2985</v>
      </c>
      <c r="D69" s="279" t="s">
        <v>1082</v>
      </c>
      <c r="E69" s="244">
        <v>9</v>
      </c>
      <c r="F69" s="246">
        <v>10.06</v>
      </c>
    </row>
    <row r="70" spans="2:6" x14ac:dyDescent="0.25">
      <c r="B70" s="245" t="s">
        <v>1267</v>
      </c>
      <c r="C70" s="270" t="s">
        <v>3118</v>
      </c>
      <c r="D70" s="279" t="s">
        <v>1082</v>
      </c>
      <c r="E70" s="244">
        <v>2</v>
      </c>
      <c r="F70" s="246">
        <v>5.91</v>
      </c>
    </row>
    <row r="71" spans="2:6" ht="22.5" x14ac:dyDescent="0.25">
      <c r="B71" s="245" t="s">
        <v>3119</v>
      </c>
      <c r="C71" s="270" t="s">
        <v>3120</v>
      </c>
      <c r="D71" s="279" t="s">
        <v>1082</v>
      </c>
      <c r="E71" s="244">
        <v>4</v>
      </c>
      <c r="F71" s="246">
        <v>376.24</v>
      </c>
    </row>
    <row r="72" spans="2:6" x14ac:dyDescent="0.25">
      <c r="B72" s="245" t="s">
        <v>1336</v>
      </c>
      <c r="C72" s="270" t="s">
        <v>3254</v>
      </c>
      <c r="D72" s="279" t="s">
        <v>1082</v>
      </c>
      <c r="E72" s="244">
        <v>1</v>
      </c>
      <c r="F72" s="246">
        <v>8976.48</v>
      </c>
    </row>
    <row r="73" spans="2:6" x14ac:dyDescent="0.25">
      <c r="B73" s="245" t="s">
        <v>1333</v>
      </c>
      <c r="C73" s="270" t="s">
        <v>3207</v>
      </c>
      <c r="D73" s="279" t="s">
        <v>1082</v>
      </c>
      <c r="E73" s="244">
        <v>1</v>
      </c>
      <c r="F73" s="246">
        <v>1795.3</v>
      </c>
    </row>
    <row r="74" spans="2:6" x14ac:dyDescent="0.25">
      <c r="B74" s="245" t="s">
        <v>1378</v>
      </c>
      <c r="C74" s="270" t="s">
        <v>3225</v>
      </c>
      <c r="D74" s="279" t="s">
        <v>1082</v>
      </c>
      <c r="E74" s="244">
        <v>1</v>
      </c>
      <c r="F74" s="246">
        <v>6539.84</v>
      </c>
    </row>
    <row r="75" spans="2:6" x14ac:dyDescent="0.25">
      <c r="B75" s="245" t="s">
        <v>3093</v>
      </c>
      <c r="C75" s="270" t="s">
        <v>3094</v>
      </c>
      <c r="D75" s="279" t="s">
        <v>1082</v>
      </c>
      <c r="E75" s="244">
        <v>69</v>
      </c>
      <c r="F75" s="246">
        <v>697.79</v>
      </c>
    </row>
    <row r="76" spans="2:6" x14ac:dyDescent="0.25">
      <c r="B76" s="245" t="s">
        <v>1270</v>
      </c>
      <c r="C76" s="270" t="s">
        <v>3231</v>
      </c>
      <c r="D76" s="279" t="s">
        <v>1082</v>
      </c>
      <c r="E76" s="244">
        <v>1</v>
      </c>
      <c r="F76" s="246">
        <v>269.43</v>
      </c>
    </row>
    <row r="77" spans="2:6" x14ac:dyDescent="0.25">
      <c r="B77" s="245" t="s">
        <v>1213</v>
      </c>
      <c r="C77" s="270" t="s">
        <v>2959</v>
      </c>
      <c r="D77" s="279" t="s">
        <v>473</v>
      </c>
      <c r="E77" s="244">
        <v>4922.83</v>
      </c>
      <c r="F77" s="246">
        <v>7.23</v>
      </c>
    </row>
    <row r="78" spans="2:6" x14ac:dyDescent="0.25">
      <c r="B78" s="245" t="s">
        <v>1273</v>
      </c>
      <c r="C78" s="270" t="s">
        <v>2990</v>
      </c>
      <c r="D78" s="279" t="s">
        <v>1082</v>
      </c>
      <c r="E78" s="244">
        <v>29</v>
      </c>
      <c r="F78" s="246">
        <v>108.52</v>
      </c>
    </row>
    <row r="79" spans="2:6" ht="22.5" x14ac:dyDescent="0.25">
      <c r="B79" s="245" t="s">
        <v>1210</v>
      </c>
      <c r="C79" s="270" t="s">
        <v>3058</v>
      </c>
      <c r="D79" s="279" t="s">
        <v>1082</v>
      </c>
      <c r="E79" s="244">
        <v>128</v>
      </c>
      <c r="F79" s="246">
        <v>50.84</v>
      </c>
    </row>
    <row r="80" spans="2:6" x14ac:dyDescent="0.25">
      <c r="B80" s="245" t="s">
        <v>1276</v>
      </c>
      <c r="C80" s="270" t="s">
        <v>3168</v>
      </c>
      <c r="D80" s="279" t="s">
        <v>1082</v>
      </c>
      <c r="E80" s="244">
        <v>2</v>
      </c>
      <c r="F80" s="246">
        <v>141.94999999999999</v>
      </c>
    </row>
    <row r="81" spans="2:6" x14ac:dyDescent="0.25">
      <c r="B81" s="245" t="s">
        <v>2987</v>
      </c>
      <c r="C81" s="270" t="s">
        <v>2988</v>
      </c>
      <c r="D81" s="279" t="s">
        <v>1082</v>
      </c>
      <c r="E81" s="244">
        <v>292</v>
      </c>
      <c r="F81" s="246">
        <v>72.569999999999993</v>
      </c>
    </row>
    <row r="82" spans="2:6" ht="22.5" x14ac:dyDescent="0.25">
      <c r="B82" s="245" t="s">
        <v>1207</v>
      </c>
      <c r="C82" s="270" t="s">
        <v>3008</v>
      </c>
      <c r="D82" s="279" t="s">
        <v>1082</v>
      </c>
      <c r="E82" s="244">
        <v>242</v>
      </c>
      <c r="F82" s="246">
        <v>48.35</v>
      </c>
    </row>
    <row r="83" spans="2:6" x14ac:dyDescent="0.25">
      <c r="B83" s="245" t="s">
        <v>3104</v>
      </c>
      <c r="C83" s="270" t="s">
        <v>3105</v>
      </c>
      <c r="D83" s="279" t="s">
        <v>1082</v>
      </c>
      <c r="E83" s="244">
        <v>1</v>
      </c>
      <c r="F83" s="246">
        <v>90.38</v>
      </c>
    </row>
    <row r="84" spans="2:6" x14ac:dyDescent="0.25">
      <c r="B84" s="245" t="s">
        <v>1099</v>
      </c>
      <c r="C84" s="270" t="s">
        <v>3181</v>
      </c>
      <c r="D84" s="279" t="s">
        <v>1082</v>
      </c>
      <c r="E84" s="244">
        <v>1</v>
      </c>
      <c r="F84" s="246">
        <v>48.74</v>
      </c>
    </row>
    <row r="85" spans="2:6" x14ac:dyDescent="0.25">
      <c r="B85" s="245" t="s">
        <v>1111</v>
      </c>
      <c r="C85" s="270" t="s">
        <v>3241</v>
      </c>
      <c r="D85" s="279" t="s">
        <v>1082</v>
      </c>
      <c r="E85" s="244">
        <v>2</v>
      </c>
      <c r="F85" s="246">
        <v>67.88</v>
      </c>
    </row>
    <row r="86" spans="2:6" x14ac:dyDescent="0.25">
      <c r="B86" s="245" t="s">
        <v>1102</v>
      </c>
      <c r="C86" s="270" t="s">
        <v>3243</v>
      </c>
      <c r="D86" s="279" t="s">
        <v>1082</v>
      </c>
      <c r="E86" s="244">
        <v>7</v>
      </c>
      <c r="F86" s="246">
        <v>140.79</v>
      </c>
    </row>
    <row r="87" spans="2:6" x14ac:dyDescent="0.25">
      <c r="B87" s="245" t="s">
        <v>1105</v>
      </c>
      <c r="C87" s="270" t="s">
        <v>3217</v>
      </c>
      <c r="D87" s="279" t="s">
        <v>1082</v>
      </c>
      <c r="E87" s="244">
        <v>2</v>
      </c>
      <c r="F87" s="246">
        <v>260.33</v>
      </c>
    </row>
    <row r="88" spans="2:6" x14ac:dyDescent="0.25">
      <c r="B88" s="245" t="s">
        <v>1108</v>
      </c>
      <c r="C88" s="270" t="s">
        <v>3203</v>
      </c>
      <c r="D88" s="279" t="s">
        <v>1082</v>
      </c>
      <c r="E88" s="244">
        <v>4</v>
      </c>
      <c r="F88" s="246">
        <v>443.63</v>
      </c>
    </row>
    <row r="89" spans="2:6" x14ac:dyDescent="0.25">
      <c r="B89" s="245" t="s">
        <v>1330</v>
      </c>
      <c r="C89" s="270" t="s">
        <v>3178</v>
      </c>
      <c r="D89" s="279" t="s">
        <v>1082</v>
      </c>
      <c r="E89" s="244">
        <v>1</v>
      </c>
      <c r="F89" s="246">
        <v>11.53</v>
      </c>
    </row>
    <row r="90" spans="2:6" x14ac:dyDescent="0.25">
      <c r="B90" s="245" t="s">
        <v>3111</v>
      </c>
      <c r="C90" s="270" t="s">
        <v>3112</v>
      </c>
      <c r="D90" s="279" t="s">
        <v>1082</v>
      </c>
      <c r="E90" s="244">
        <v>2</v>
      </c>
      <c r="F90" s="246">
        <v>482.33</v>
      </c>
    </row>
    <row r="91" spans="2:6" ht="22.5" x14ac:dyDescent="0.25">
      <c r="B91" s="245" t="s">
        <v>3096</v>
      </c>
      <c r="C91" s="270" t="s">
        <v>3097</v>
      </c>
      <c r="D91" s="279" t="s">
        <v>1082</v>
      </c>
      <c r="E91" s="244">
        <v>21</v>
      </c>
      <c r="F91" s="246">
        <v>509.25</v>
      </c>
    </row>
    <row r="92" spans="2:6" x14ac:dyDescent="0.25">
      <c r="B92" s="245" t="s">
        <v>1279</v>
      </c>
      <c r="C92" s="270" t="s">
        <v>3061</v>
      </c>
      <c r="D92" s="279" t="s">
        <v>1082</v>
      </c>
      <c r="E92" s="244">
        <v>133</v>
      </c>
      <c r="F92" s="246">
        <v>12.15</v>
      </c>
    </row>
    <row r="93" spans="2:6" x14ac:dyDescent="0.25">
      <c r="B93" s="245" t="s">
        <v>1282</v>
      </c>
      <c r="C93" s="270" t="s">
        <v>3063</v>
      </c>
      <c r="D93" s="279" t="s">
        <v>1082</v>
      </c>
      <c r="E93" s="244">
        <v>11</v>
      </c>
      <c r="F93" s="246">
        <v>16.809999999999999</v>
      </c>
    </row>
    <row r="94" spans="2:6" x14ac:dyDescent="0.25">
      <c r="B94" s="245" t="s">
        <v>1285</v>
      </c>
      <c r="C94" s="270" t="s">
        <v>3065</v>
      </c>
      <c r="D94" s="279" t="s">
        <v>1082</v>
      </c>
      <c r="E94" s="244">
        <v>2</v>
      </c>
      <c r="F94" s="246">
        <v>35.31</v>
      </c>
    </row>
    <row r="95" spans="2:6" x14ac:dyDescent="0.25">
      <c r="B95" s="245" t="s">
        <v>1288</v>
      </c>
      <c r="C95" s="270" t="s">
        <v>3169</v>
      </c>
      <c r="D95" s="279" t="s">
        <v>1082</v>
      </c>
      <c r="E95" s="244">
        <v>1</v>
      </c>
      <c r="F95" s="246">
        <v>43.45</v>
      </c>
    </row>
    <row r="96" spans="2:6" x14ac:dyDescent="0.25">
      <c r="B96" s="245" t="s">
        <v>1369</v>
      </c>
      <c r="C96" s="270" t="s">
        <v>3109</v>
      </c>
      <c r="D96" s="279" t="s">
        <v>1082</v>
      </c>
      <c r="E96" s="244">
        <v>9</v>
      </c>
      <c r="F96" s="246">
        <v>29.73</v>
      </c>
    </row>
    <row r="97" spans="2:6" x14ac:dyDescent="0.25">
      <c r="B97" s="245" t="s">
        <v>1387</v>
      </c>
      <c r="C97" s="270" t="s">
        <v>3265</v>
      </c>
      <c r="D97" s="279" t="s">
        <v>1082</v>
      </c>
      <c r="E97" s="244">
        <v>3</v>
      </c>
      <c r="F97" s="246">
        <v>97.92</v>
      </c>
    </row>
    <row r="98" spans="2:6" ht="22.5" x14ac:dyDescent="0.25">
      <c r="B98" s="245" t="s">
        <v>1201</v>
      </c>
      <c r="C98" s="270" t="s">
        <v>3000</v>
      </c>
      <c r="D98" s="279" t="s">
        <v>1082</v>
      </c>
      <c r="E98" s="244">
        <v>88</v>
      </c>
      <c r="F98" s="246">
        <v>12.04</v>
      </c>
    </row>
    <row r="99" spans="2:6" x14ac:dyDescent="0.25">
      <c r="B99" s="245" t="s">
        <v>1390</v>
      </c>
      <c r="C99" s="270" t="s">
        <v>3267</v>
      </c>
      <c r="D99" s="279" t="s">
        <v>1082</v>
      </c>
      <c r="E99" s="244">
        <v>6</v>
      </c>
      <c r="F99" s="246">
        <v>37.29</v>
      </c>
    </row>
    <row r="100" spans="2:6" x14ac:dyDescent="0.25">
      <c r="B100" s="245" t="s">
        <v>1393</v>
      </c>
      <c r="C100" s="270" t="s">
        <v>3266</v>
      </c>
      <c r="D100" s="279" t="s">
        <v>1082</v>
      </c>
      <c r="E100" s="244">
        <v>11</v>
      </c>
      <c r="F100" s="246">
        <v>60.21</v>
      </c>
    </row>
    <row r="101" spans="2:6" x14ac:dyDescent="0.25">
      <c r="B101" s="245" t="s">
        <v>1117</v>
      </c>
      <c r="C101" s="270" t="s">
        <v>3219</v>
      </c>
      <c r="D101" s="279" t="s">
        <v>1082</v>
      </c>
      <c r="E101" s="244">
        <v>1</v>
      </c>
      <c r="F101" s="246">
        <v>75.08</v>
      </c>
    </row>
    <row r="102" spans="2:6" x14ac:dyDescent="0.25">
      <c r="B102" s="245" t="s">
        <v>1114</v>
      </c>
      <c r="C102" s="270" t="s">
        <v>3201</v>
      </c>
      <c r="D102" s="279" t="s">
        <v>1082</v>
      </c>
      <c r="E102" s="244">
        <v>5</v>
      </c>
      <c r="F102" s="246">
        <v>142.99</v>
      </c>
    </row>
    <row r="103" spans="2:6" x14ac:dyDescent="0.25">
      <c r="B103" s="245" t="s">
        <v>1432</v>
      </c>
      <c r="C103" s="270" t="s">
        <v>1433</v>
      </c>
      <c r="D103" s="279" t="s">
        <v>1082</v>
      </c>
      <c r="E103" s="244">
        <v>2</v>
      </c>
      <c r="F103" s="246">
        <v>72.819999999999993</v>
      </c>
    </row>
    <row r="104" spans="2:6" x14ac:dyDescent="0.25">
      <c r="B104" s="245" t="s">
        <v>1291</v>
      </c>
      <c r="C104" s="270" t="s">
        <v>2998</v>
      </c>
      <c r="D104" s="279" t="s">
        <v>1082</v>
      </c>
      <c r="E104" s="244">
        <v>160</v>
      </c>
      <c r="F104" s="246">
        <v>5.99</v>
      </c>
    </row>
    <row r="105" spans="2:6" x14ac:dyDescent="0.25">
      <c r="B105" s="245" t="s">
        <v>1294</v>
      </c>
      <c r="C105" s="270" t="s">
        <v>2994</v>
      </c>
      <c r="D105" s="279" t="s">
        <v>1082</v>
      </c>
      <c r="E105" s="244">
        <v>127</v>
      </c>
      <c r="F105" s="246">
        <v>14.53</v>
      </c>
    </row>
    <row r="106" spans="2:6" x14ac:dyDescent="0.25">
      <c r="B106" s="245" t="s">
        <v>1297</v>
      </c>
      <c r="C106" s="270" t="s">
        <v>2996</v>
      </c>
      <c r="D106" s="279" t="s">
        <v>1082</v>
      </c>
      <c r="E106" s="244">
        <v>21</v>
      </c>
      <c r="F106" s="246">
        <v>28.96</v>
      </c>
    </row>
    <row r="107" spans="2:6" x14ac:dyDescent="0.25">
      <c r="B107" s="245" t="s">
        <v>1372</v>
      </c>
      <c r="C107" s="270" t="s">
        <v>2992</v>
      </c>
      <c r="D107" s="279" t="s">
        <v>1082</v>
      </c>
      <c r="E107" s="244">
        <v>191</v>
      </c>
      <c r="F107" s="246">
        <v>13.43</v>
      </c>
    </row>
    <row r="108" spans="2:6" ht="22.5" x14ac:dyDescent="0.25">
      <c r="B108" s="245" t="s">
        <v>3099</v>
      </c>
      <c r="C108" s="270" t="s">
        <v>3100</v>
      </c>
      <c r="D108" s="279" t="s">
        <v>1082</v>
      </c>
      <c r="E108" s="244">
        <v>71</v>
      </c>
      <c r="F108" s="246">
        <v>65.760000000000005</v>
      </c>
    </row>
    <row r="109" spans="2:6" x14ac:dyDescent="0.25">
      <c r="B109" s="245" t="s">
        <v>1135</v>
      </c>
      <c r="C109" s="270" t="s">
        <v>3187</v>
      </c>
      <c r="D109" s="279" t="s">
        <v>1082</v>
      </c>
      <c r="E109" s="244">
        <v>1</v>
      </c>
      <c r="F109" s="246">
        <v>87.21</v>
      </c>
    </row>
    <row r="110" spans="2:6" x14ac:dyDescent="0.25">
      <c r="B110" s="245" t="s">
        <v>1300</v>
      </c>
      <c r="C110" s="270" t="s">
        <v>3170</v>
      </c>
      <c r="D110" s="279" t="s">
        <v>1082</v>
      </c>
      <c r="E110" s="244">
        <v>1</v>
      </c>
      <c r="F110" s="246">
        <v>24.95</v>
      </c>
    </row>
    <row r="111" spans="2:6" x14ac:dyDescent="0.25">
      <c r="B111" s="245" t="s">
        <v>1420</v>
      </c>
      <c r="C111" s="270" t="s">
        <v>3193</v>
      </c>
      <c r="D111" s="279" t="s">
        <v>473</v>
      </c>
      <c r="E111" s="244">
        <v>6</v>
      </c>
      <c r="F111" s="246">
        <v>77.400000000000006</v>
      </c>
    </row>
    <row r="112" spans="2:6" x14ac:dyDescent="0.25">
      <c r="B112" s="245" t="s">
        <v>1423</v>
      </c>
      <c r="C112" s="270" t="s">
        <v>3223</v>
      </c>
      <c r="D112" s="279" t="s">
        <v>473</v>
      </c>
      <c r="E112" s="244">
        <v>49.68</v>
      </c>
      <c r="F112" s="246">
        <v>47.86</v>
      </c>
    </row>
    <row r="113" spans="2:6" x14ac:dyDescent="0.25">
      <c r="B113" s="245" t="s">
        <v>1441</v>
      </c>
      <c r="C113" s="270" t="s">
        <v>1442</v>
      </c>
      <c r="D113" s="279" t="s">
        <v>473</v>
      </c>
      <c r="E113" s="244">
        <v>8</v>
      </c>
      <c r="F113" s="246">
        <v>100</v>
      </c>
    </row>
    <row r="114" spans="2:6" x14ac:dyDescent="0.25">
      <c r="B114" s="245" t="s">
        <v>1303</v>
      </c>
      <c r="C114" s="270" t="s">
        <v>3021</v>
      </c>
      <c r="D114" s="279" t="s">
        <v>473</v>
      </c>
      <c r="E114" s="244">
        <v>782.16000000000008</v>
      </c>
      <c r="F114" s="246">
        <v>32.659999999999997</v>
      </c>
    </row>
    <row r="115" spans="2:6" x14ac:dyDescent="0.25">
      <c r="B115" s="245" t="s">
        <v>1306</v>
      </c>
      <c r="C115" s="270" t="s">
        <v>3023</v>
      </c>
      <c r="D115" s="279" t="s">
        <v>473</v>
      </c>
      <c r="E115" s="244">
        <v>610.28</v>
      </c>
      <c r="F115" s="246">
        <v>47.21</v>
      </c>
    </row>
    <row r="116" spans="2:6" x14ac:dyDescent="0.25">
      <c r="B116" s="245" t="s">
        <v>1309</v>
      </c>
      <c r="C116" s="270" t="s">
        <v>3025</v>
      </c>
      <c r="D116" s="279" t="s">
        <v>473</v>
      </c>
      <c r="E116" s="244">
        <v>41.87</v>
      </c>
      <c r="F116" s="246">
        <v>71.31</v>
      </c>
    </row>
    <row r="117" spans="2:6" x14ac:dyDescent="0.25">
      <c r="B117" s="245" t="s">
        <v>1312</v>
      </c>
      <c r="C117" s="270" t="s">
        <v>3027</v>
      </c>
      <c r="D117" s="279" t="s">
        <v>473</v>
      </c>
      <c r="E117" s="244">
        <v>116.42</v>
      </c>
      <c r="F117" s="246">
        <v>80.83</v>
      </c>
    </row>
    <row r="118" spans="2:6" x14ac:dyDescent="0.25">
      <c r="B118" s="245" t="s">
        <v>1315</v>
      </c>
      <c r="C118" s="270" t="s">
        <v>3269</v>
      </c>
      <c r="D118" s="279" t="s">
        <v>473</v>
      </c>
      <c r="E118" s="244">
        <v>181.78</v>
      </c>
      <c r="F118" s="246">
        <v>120.51</v>
      </c>
    </row>
    <row r="119" spans="2:6" x14ac:dyDescent="0.25">
      <c r="B119" s="245" t="s">
        <v>1318</v>
      </c>
      <c r="C119" s="270" t="s">
        <v>3029</v>
      </c>
      <c r="D119" s="279" t="s">
        <v>473</v>
      </c>
      <c r="E119" s="244">
        <v>2.5</v>
      </c>
      <c r="F119" s="246">
        <v>161.86000000000001</v>
      </c>
    </row>
    <row r="120" spans="2:6" x14ac:dyDescent="0.25">
      <c r="B120" s="245" t="s">
        <v>1321</v>
      </c>
      <c r="C120" s="270" t="s">
        <v>3236</v>
      </c>
      <c r="D120" s="279" t="s">
        <v>473</v>
      </c>
      <c r="E120" s="244">
        <v>142.36000000000001</v>
      </c>
      <c r="F120" s="246">
        <v>199.36</v>
      </c>
    </row>
    <row r="121" spans="2:6" x14ac:dyDescent="0.25">
      <c r="B121" s="245" t="s">
        <v>3018</v>
      </c>
      <c r="C121" s="270" t="s">
        <v>3019</v>
      </c>
      <c r="D121" s="279" t="s">
        <v>473</v>
      </c>
      <c r="E121" s="244">
        <v>26.4</v>
      </c>
      <c r="F121" s="246">
        <v>184.93</v>
      </c>
    </row>
    <row r="122" spans="2:6" x14ac:dyDescent="0.25">
      <c r="B122" s="245" t="s">
        <v>1324</v>
      </c>
      <c r="C122" s="270" t="s">
        <v>2957</v>
      </c>
      <c r="D122" s="279" t="s">
        <v>473</v>
      </c>
      <c r="E122" s="244">
        <v>72.91</v>
      </c>
      <c r="F122" s="246">
        <v>55.4</v>
      </c>
    </row>
    <row r="123" spans="2:6" x14ac:dyDescent="0.25">
      <c r="B123" s="245" t="s">
        <v>1120</v>
      </c>
      <c r="C123" s="270" t="s">
        <v>3237</v>
      </c>
      <c r="D123" s="279" t="s">
        <v>473</v>
      </c>
      <c r="E123" s="244">
        <v>6.6</v>
      </c>
      <c r="F123" s="246">
        <v>35.17</v>
      </c>
    </row>
    <row r="124" spans="2:6" ht="22.5" x14ac:dyDescent="0.25">
      <c r="B124" s="245" t="s">
        <v>1162</v>
      </c>
      <c r="C124" s="270" t="s">
        <v>2950</v>
      </c>
      <c r="D124" s="279" t="s">
        <v>473</v>
      </c>
      <c r="E124" s="244">
        <v>1634.3600000000001</v>
      </c>
      <c r="F124" s="246">
        <v>11.78</v>
      </c>
    </row>
    <row r="125" spans="2:6" x14ac:dyDescent="0.25">
      <c r="B125" s="245" t="s">
        <v>1177</v>
      </c>
      <c r="C125" s="270" t="s">
        <v>2952</v>
      </c>
      <c r="D125" s="279" t="s">
        <v>473</v>
      </c>
      <c r="E125" s="244">
        <v>867.24</v>
      </c>
      <c r="F125" s="246">
        <v>9.17</v>
      </c>
    </row>
    <row r="126" spans="2:6" x14ac:dyDescent="0.25">
      <c r="B126" s="245" t="s">
        <v>1180</v>
      </c>
      <c r="C126" s="270" t="s">
        <v>2954</v>
      </c>
      <c r="D126" s="279" t="s">
        <v>473</v>
      </c>
      <c r="E126" s="244">
        <v>340.26000000000005</v>
      </c>
      <c r="F126" s="246">
        <v>14</v>
      </c>
    </row>
    <row r="127" spans="2:6" x14ac:dyDescent="0.25">
      <c r="B127" s="245" t="s">
        <v>1183</v>
      </c>
      <c r="C127" s="270" t="s">
        <v>3102</v>
      </c>
      <c r="D127" s="279" t="s">
        <v>473</v>
      </c>
      <c r="E127" s="244">
        <v>144.79000000000002</v>
      </c>
      <c r="F127" s="246">
        <v>19.489999999999998</v>
      </c>
    </row>
    <row r="128" spans="2:6" x14ac:dyDescent="0.25">
      <c r="B128" s="245" t="s">
        <v>1123</v>
      </c>
      <c r="C128" s="270" t="s">
        <v>3213</v>
      </c>
      <c r="D128" s="279" t="s">
        <v>1082</v>
      </c>
      <c r="E128" s="244">
        <v>2</v>
      </c>
      <c r="F128" s="246">
        <v>122.9</v>
      </c>
    </row>
    <row r="129" spans="2:6" x14ac:dyDescent="0.25">
      <c r="B129" s="245" t="s">
        <v>1126</v>
      </c>
      <c r="C129" s="270" t="s">
        <v>3205</v>
      </c>
      <c r="D129" s="279" t="s">
        <v>1082</v>
      </c>
      <c r="E129" s="244">
        <v>2</v>
      </c>
      <c r="F129" s="246">
        <v>164.78</v>
      </c>
    </row>
    <row r="130" spans="2:6" x14ac:dyDescent="0.25">
      <c r="B130" s="245" t="s">
        <v>1327</v>
      </c>
      <c r="C130" s="270" t="s">
        <v>3002</v>
      </c>
      <c r="D130" s="279" t="s">
        <v>1082</v>
      </c>
      <c r="E130" s="244">
        <v>137</v>
      </c>
      <c r="F130" s="246">
        <v>136.18</v>
      </c>
    </row>
    <row r="131" spans="2:6" x14ac:dyDescent="0.25">
      <c r="B131" s="245" t="s">
        <v>1145</v>
      </c>
      <c r="C131" s="270" t="s">
        <v>3191</v>
      </c>
      <c r="D131" s="279" t="s">
        <v>1082</v>
      </c>
      <c r="E131" s="244">
        <v>1</v>
      </c>
      <c r="F131" s="246">
        <v>234.69</v>
      </c>
    </row>
    <row r="132" spans="2:6" x14ac:dyDescent="0.25">
      <c r="B132" s="245" t="s">
        <v>1129</v>
      </c>
      <c r="C132" s="270" t="s">
        <v>3215</v>
      </c>
      <c r="D132" s="279" t="s">
        <v>1082</v>
      </c>
      <c r="E132" s="244">
        <v>2</v>
      </c>
      <c r="F132" s="246">
        <v>213.75</v>
      </c>
    </row>
    <row r="133" spans="2:6" x14ac:dyDescent="0.25">
      <c r="B133" s="245" t="s">
        <v>1132</v>
      </c>
      <c r="C133" s="270" t="s">
        <v>3251</v>
      </c>
      <c r="D133" s="279" t="s">
        <v>1082</v>
      </c>
      <c r="E133" s="244">
        <v>2</v>
      </c>
      <c r="F133" s="246">
        <v>329.22</v>
      </c>
    </row>
    <row r="134" spans="2:6" ht="22.5" x14ac:dyDescent="0.25">
      <c r="B134" s="245" t="s">
        <v>3074</v>
      </c>
      <c r="C134" s="270" t="s">
        <v>3075</v>
      </c>
      <c r="D134" s="279" t="s">
        <v>1082</v>
      </c>
      <c r="E134" s="244">
        <v>77</v>
      </c>
      <c r="F134" s="246">
        <v>313.45999999999998</v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B3:G124"/>
  <sheetViews>
    <sheetView topLeftCell="A2" zoomScale="85" zoomScaleNormal="85" workbookViewId="0">
      <selection activeCell="M36" sqref="M36"/>
    </sheetView>
  </sheetViews>
  <sheetFormatPr defaultRowHeight="15.75" x14ac:dyDescent="0.25"/>
  <cols>
    <col min="2" max="2" width="11.25" customWidth="1"/>
    <col min="3" max="3" width="15.25" customWidth="1"/>
    <col min="4" max="4" width="80.875" customWidth="1"/>
    <col min="6" max="6" width="11.625" customWidth="1"/>
    <col min="7" max="7" width="12.125" customWidth="1"/>
  </cols>
  <sheetData>
    <row r="3" spans="2:7" x14ac:dyDescent="0.25">
      <c r="B3" s="240" t="s">
        <v>2882</v>
      </c>
      <c r="C3" s="326">
        <v>91788</v>
      </c>
      <c r="D3" s="328" t="s">
        <v>3442</v>
      </c>
      <c r="E3" s="327" t="s">
        <v>473</v>
      </c>
      <c r="F3" s="243">
        <v>38.020000000000003</v>
      </c>
      <c r="G3" s="243">
        <v>20.059999999999999</v>
      </c>
    </row>
    <row r="4" spans="2:7" x14ac:dyDescent="0.25">
      <c r="B4" s="240" t="s">
        <v>2882</v>
      </c>
      <c r="C4" s="326" t="s">
        <v>1148</v>
      </c>
      <c r="D4" s="328" t="s">
        <v>1149</v>
      </c>
      <c r="E4" s="327" t="s">
        <v>473</v>
      </c>
      <c r="F4" s="243">
        <v>6</v>
      </c>
      <c r="G4" s="243">
        <v>3</v>
      </c>
    </row>
    <row r="5" spans="2:7" x14ac:dyDescent="0.25">
      <c r="B5" s="240" t="s">
        <v>2882</v>
      </c>
      <c r="C5" s="326" t="s">
        <v>1240</v>
      </c>
      <c r="D5" s="328" t="s">
        <v>1241</v>
      </c>
      <c r="E5" s="327" t="s">
        <v>1082</v>
      </c>
      <c r="F5" s="243">
        <v>5</v>
      </c>
      <c r="G5" s="243">
        <v>1878.84</v>
      </c>
    </row>
    <row r="6" spans="2:7" x14ac:dyDescent="0.25">
      <c r="B6" s="240" t="s">
        <v>504</v>
      </c>
      <c r="C6" s="326" t="s">
        <v>1438</v>
      </c>
      <c r="D6" s="241" t="s">
        <v>1439</v>
      </c>
      <c r="E6" s="327" t="s">
        <v>1082</v>
      </c>
      <c r="F6" s="243">
        <v>2</v>
      </c>
      <c r="G6" s="243">
        <v>34.5</v>
      </c>
    </row>
    <row r="7" spans="2:7" x14ac:dyDescent="0.25">
      <c r="B7" s="240" t="s">
        <v>504</v>
      </c>
      <c r="C7" s="326" t="s">
        <v>1426</v>
      </c>
      <c r="D7" s="280" t="s">
        <v>1427</v>
      </c>
      <c r="E7" s="327" t="s">
        <v>1082</v>
      </c>
      <c r="F7" s="243">
        <v>2</v>
      </c>
      <c r="G7" s="243">
        <v>12630.88</v>
      </c>
    </row>
    <row r="8" spans="2:7" x14ac:dyDescent="0.25">
      <c r="B8" s="240" t="s">
        <v>2882</v>
      </c>
      <c r="C8" s="326" t="s">
        <v>1159</v>
      </c>
      <c r="D8" s="328" t="s">
        <v>1160</v>
      </c>
      <c r="E8" s="327" t="s">
        <v>1082</v>
      </c>
      <c r="F8" s="243">
        <v>2</v>
      </c>
      <c r="G8" s="243">
        <v>3927.44</v>
      </c>
    </row>
    <row r="9" spans="2:7" x14ac:dyDescent="0.25">
      <c r="B9" s="240" t="s">
        <v>504</v>
      </c>
      <c r="C9" s="326" t="s">
        <v>1384</v>
      </c>
      <c r="D9" s="328" t="s">
        <v>1385</v>
      </c>
      <c r="E9" s="327" t="s">
        <v>1082</v>
      </c>
      <c r="F9" s="243">
        <v>1</v>
      </c>
      <c r="G9" s="243">
        <v>22.74</v>
      </c>
    </row>
    <row r="10" spans="2:7" x14ac:dyDescent="0.25">
      <c r="B10" s="240" t="s">
        <v>504</v>
      </c>
      <c r="C10" s="326" t="s">
        <v>1381</v>
      </c>
      <c r="D10" s="328" t="s">
        <v>1382</v>
      </c>
      <c r="E10" s="327" t="s">
        <v>1082</v>
      </c>
      <c r="F10" s="243">
        <v>5</v>
      </c>
      <c r="G10" s="243">
        <v>13.19</v>
      </c>
    </row>
    <row r="11" spans="2:7" x14ac:dyDescent="0.25">
      <c r="B11" s="240" t="s">
        <v>504</v>
      </c>
      <c r="C11" s="326" t="s">
        <v>1399</v>
      </c>
      <c r="D11" s="328" t="s">
        <v>1400</v>
      </c>
      <c r="E11" s="327" t="s">
        <v>1082</v>
      </c>
      <c r="F11" s="243">
        <v>2</v>
      </c>
      <c r="G11" s="243">
        <v>12.69</v>
      </c>
    </row>
    <row r="12" spans="2:7" x14ac:dyDescent="0.25">
      <c r="B12" s="240" t="s">
        <v>504</v>
      </c>
      <c r="C12" s="326" t="s">
        <v>1396</v>
      </c>
      <c r="D12" s="328" t="s">
        <v>1397</v>
      </c>
      <c r="E12" s="327" t="s">
        <v>1082</v>
      </c>
      <c r="F12" s="243">
        <v>2</v>
      </c>
      <c r="G12" s="243">
        <v>20.170000000000002</v>
      </c>
    </row>
    <row r="13" spans="2:7" x14ac:dyDescent="0.25">
      <c r="B13" s="240" t="s">
        <v>504</v>
      </c>
      <c r="C13" s="326" t="s">
        <v>1402</v>
      </c>
      <c r="D13" s="328" t="s">
        <v>1403</v>
      </c>
      <c r="E13" s="327" t="s">
        <v>1082</v>
      </c>
      <c r="F13" s="243">
        <v>2</v>
      </c>
      <c r="G13" s="243">
        <v>98.26</v>
      </c>
    </row>
    <row r="14" spans="2:7" x14ac:dyDescent="0.25">
      <c r="B14" s="240" t="s">
        <v>2882</v>
      </c>
      <c r="C14" s="326" t="s">
        <v>1080</v>
      </c>
      <c r="D14" s="328" t="s">
        <v>1081</v>
      </c>
      <c r="E14" s="327" t="s">
        <v>1082</v>
      </c>
      <c r="F14" s="243">
        <v>2</v>
      </c>
      <c r="G14" s="243">
        <v>19.940000000000001</v>
      </c>
    </row>
    <row r="15" spans="2:7" x14ac:dyDescent="0.25">
      <c r="B15" s="240" t="s">
        <v>2882</v>
      </c>
      <c r="C15" s="326" t="s">
        <v>1084</v>
      </c>
      <c r="D15" s="328" t="s">
        <v>1085</v>
      </c>
      <c r="E15" s="327" t="s">
        <v>1082</v>
      </c>
      <c r="F15" s="243">
        <v>4</v>
      </c>
      <c r="G15" s="243">
        <v>50.58</v>
      </c>
    </row>
    <row r="16" spans="2:7" x14ac:dyDescent="0.25">
      <c r="B16" s="240" t="s">
        <v>2882</v>
      </c>
      <c r="C16" s="326" t="s">
        <v>1087</v>
      </c>
      <c r="D16" s="328" t="s">
        <v>1088</v>
      </c>
      <c r="E16" s="327" t="s">
        <v>1082</v>
      </c>
      <c r="F16" s="243">
        <v>3</v>
      </c>
      <c r="G16" s="243">
        <v>50.58</v>
      </c>
    </row>
    <row r="17" spans="2:7" x14ac:dyDescent="0.25">
      <c r="B17" s="240" t="s">
        <v>2956</v>
      </c>
      <c r="C17" s="326" t="s">
        <v>1366</v>
      </c>
      <c r="D17" s="328" t="s">
        <v>1367</v>
      </c>
      <c r="E17" s="327" t="s">
        <v>1082</v>
      </c>
      <c r="F17" s="243">
        <v>1</v>
      </c>
      <c r="G17" s="243">
        <v>19.38</v>
      </c>
    </row>
    <row r="18" spans="2:7" x14ac:dyDescent="0.25">
      <c r="B18" s="240" t="s">
        <v>2956</v>
      </c>
      <c r="C18" s="326" t="s">
        <v>1354</v>
      </c>
      <c r="D18" s="328" t="s">
        <v>1355</v>
      </c>
      <c r="E18" s="327" t="s">
        <v>1082</v>
      </c>
      <c r="F18" s="243">
        <v>1</v>
      </c>
      <c r="G18" s="243">
        <v>26.39</v>
      </c>
    </row>
    <row r="19" spans="2:7" x14ac:dyDescent="0.25">
      <c r="B19" s="240" t="s">
        <v>2956</v>
      </c>
      <c r="C19" s="326" t="s">
        <v>1357</v>
      </c>
      <c r="D19" s="328" t="s">
        <v>1358</v>
      </c>
      <c r="E19" s="327" t="s">
        <v>1082</v>
      </c>
      <c r="F19" s="243">
        <v>7</v>
      </c>
      <c r="G19" s="243">
        <v>14.83</v>
      </c>
    </row>
    <row r="20" spans="2:7" x14ac:dyDescent="0.25">
      <c r="B20" s="240" t="s">
        <v>2882</v>
      </c>
      <c r="C20" s="326" t="s">
        <v>1237</v>
      </c>
      <c r="D20" s="328" t="s">
        <v>1238</v>
      </c>
      <c r="E20" s="327" t="s">
        <v>1082</v>
      </c>
      <c r="F20" s="243">
        <v>18</v>
      </c>
      <c r="G20" s="243">
        <v>466.74</v>
      </c>
    </row>
    <row r="21" spans="2:7" x14ac:dyDescent="0.25">
      <c r="B21" s="240" t="s">
        <v>2956</v>
      </c>
      <c r="C21" s="326" t="s">
        <v>1348</v>
      </c>
      <c r="D21" s="328" t="s">
        <v>1349</v>
      </c>
      <c r="E21" s="327" t="s">
        <v>1082</v>
      </c>
      <c r="F21" s="243">
        <v>1</v>
      </c>
      <c r="G21" s="243">
        <v>351.84</v>
      </c>
    </row>
    <row r="22" spans="2:7" x14ac:dyDescent="0.25">
      <c r="B22" s="240" t="s">
        <v>2956</v>
      </c>
      <c r="C22" s="326" t="s">
        <v>1345</v>
      </c>
      <c r="D22" s="328" t="s">
        <v>1346</v>
      </c>
      <c r="E22" s="327" t="s">
        <v>1082</v>
      </c>
      <c r="F22" s="243">
        <v>2</v>
      </c>
      <c r="G22" s="243">
        <v>662.41</v>
      </c>
    </row>
    <row r="23" spans="2:7" x14ac:dyDescent="0.25">
      <c r="B23" s="240" t="s">
        <v>2956</v>
      </c>
      <c r="C23" s="326" t="s">
        <v>1342</v>
      </c>
      <c r="D23" s="328" t="s">
        <v>1343</v>
      </c>
      <c r="E23" s="327" t="s">
        <v>1082</v>
      </c>
      <c r="F23" s="243">
        <v>2</v>
      </c>
      <c r="G23" s="243">
        <v>713.38</v>
      </c>
    </row>
    <row r="24" spans="2:7" x14ac:dyDescent="0.25">
      <c r="B24" s="240" t="s">
        <v>504</v>
      </c>
      <c r="C24" s="326" t="s">
        <v>1417</v>
      </c>
      <c r="D24" s="328" t="s">
        <v>1418</v>
      </c>
      <c r="E24" s="327" t="s">
        <v>1082</v>
      </c>
      <c r="F24" s="243">
        <v>2</v>
      </c>
      <c r="G24" s="243">
        <v>71.33</v>
      </c>
    </row>
    <row r="25" spans="2:7" x14ac:dyDescent="0.25">
      <c r="B25" s="240" t="s">
        <v>2882</v>
      </c>
      <c r="C25" s="326" t="s">
        <v>1243</v>
      </c>
      <c r="D25" s="328" t="s">
        <v>1244</v>
      </c>
      <c r="E25" s="327" t="s">
        <v>1082</v>
      </c>
      <c r="F25" s="243">
        <v>120</v>
      </c>
      <c r="G25" s="243">
        <v>7.54</v>
      </c>
    </row>
    <row r="26" spans="2:7" x14ac:dyDescent="0.25">
      <c r="B26" s="240" t="s">
        <v>2882</v>
      </c>
      <c r="C26" s="326" t="s">
        <v>1249</v>
      </c>
      <c r="D26" s="328" t="s">
        <v>1250</v>
      </c>
      <c r="E26" s="327" t="s">
        <v>1082</v>
      </c>
      <c r="F26" s="243">
        <v>12</v>
      </c>
      <c r="G26" s="243">
        <v>12.51</v>
      </c>
    </row>
    <row r="27" spans="2:7" x14ac:dyDescent="0.25">
      <c r="B27" s="240" t="s">
        <v>2882</v>
      </c>
      <c r="C27" s="326" t="s">
        <v>1246</v>
      </c>
      <c r="D27" s="328" t="s">
        <v>1247</v>
      </c>
      <c r="E27" s="327" t="s">
        <v>1082</v>
      </c>
      <c r="F27" s="243">
        <v>9</v>
      </c>
      <c r="G27" s="243">
        <v>24.4</v>
      </c>
    </row>
    <row r="28" spans="2:7" x14ac:dyDescent="0.25">
      <c r="B28" s="240" t="s">
        <v>2882</v>
      </c>
      <c r="C28" s="326" t="s">
        <v>1154</v>
      </c>
      <c r="D28" s="328" t="s">
        <v>1155</v>
      </c>
      <c r="E28" s="327" t="s">
        <v>1082</v>
      </c>
      <c r="F28" s="243">
        <v>1</v>
      </c>
      <c r="G28" s="243">
        <v>146.16</v>
      </c>
    </row>
    <row r="29" spans="2:7" x14ac:dyDescent="0.25">
      <c r="B29" s="240" t="s">
        <v>504</v>
      </c>
      <c r="C29" s="326" t="s">
        <v>1375</v>
      </c>
      <c r="D29" s="328" t="s">
        <v>1376</v>
      </c>
      <c r="E29" s="327" t="s">
        <v>1082</v>
      </c>
      <c r="F29" s="243">
        <v>1</v>
      </c>
      <c r="G29" s="243">
        <v>439.19</v>
      </c>
    </row>
    <row r="30" spans="2:7" x14ac:dyDescent="0.25">
      <c r="B30" s="240" t="s">
        <v>2882</v>
      </c>
      <c r="C30" s="326" t="s">
        <v>1216</v>
      </c>
      <c r="D30" s="328" t="s">
        <v>1217</v>
      </c>
      <c r="E30" s="327" t="s">
        <v>473</v>
      </c>
      <c r="F30" s="243">
        <v>4922.83</v>
      </c>
      <c r="G30" s="243">
        <v>7.28</v>
      </c>
    </row>
    <row r="31" spans="2:7" x14ac:dyDescent="0.25">
      <c r="B31" s="240" t="s">
        <v>2956</v>
      </c>
      <c r="C31" s="326" t="s">
        <v>1339</v>
      </c>
      <c r="D31" s="328" t="s">
        <v>1340</v>
      </c>
      <c r="E31" s="327" t="s">
        <v>1082</v>
      </c>
      <c r="F31" s="243">
        <v>107</v>
      </c>
      <c r="G31" s="243">
        <v>87.71</v>
      </c>
    </row>
    <row r="32" spans="2:7" x14ac:dyDescent="0.25">
      <c r="B32" s="240" t="s">
        <v>504</v>
      </c>
      <c r="C32" s="326" t="s">
        <v>1411</v>
      </c>
      <c r="D32" s="328" t="s">
        <v>1412</v>
      </c>
      <c r="E32" s="327" t="s">
        <v>1082</v>
      </c>
      <c r="F32" s="243">
        <v>4</v>
      </c>
      <c r="G32" s="243">
        <v>63.26</v>
      </c>
    </row>
    <row r="33" spans="2:7" x14ac:dyDescent="0.25">
      <c r="B33" s="240" t="s">
        <v>2956</v>
      </c>
      <c r="C33" s="326" t="s">
        <v>1351</v>
      </c>
      <c r="D33" s="328" t="s">
        <v>1352</v>
      </c>
      <c r="E33" s="327" t="s">
        <v>1082</v>
      </c>
      <c r="F33" s="243">
        <v>2</v>
      </c>
      <c r="G33" s="243">
        <v>70.52</v>
      </c>
    </row>
    <row r="34" spans="2:7" x14ac:dyDescent="0.25">
      <c r="B34" s="240" t="s">
        <v>504</v>
      </c>
      <c r="C34" s="326" t="s">
        <v>1414</v>
      </c>
      <c r="D34" s="328" t="s">
        <v>1415</v>
      </c>
      <c r="E34" s="327" t="s">
        <v>1082</v>
      </c>
      <c r="F34" s="243">
        <v>24</v>
      </c>
      <c r="G34" s="243">
        <v>106.9</v>
      </c>
    </row>
    <row r="35" spans="2:7" x14ac:dyDescent="0.25">
      <c r="B35" s="240" t="s">
        <v>3164</v>
      </c>
      <c r="C35" s="326" t="s">
        <v>1405</v>
      </c>
      <c r="D35" s="328" t="s">
        <v>1406</v>
      </c>
      <c r="E35" s="327" t="s">
        <v>1082</v>
      </c>
      <c r="F35" s="243">
        <v>2</v>
      </c>
      <c r="G35" s="243">
        <v>454.3</v>
      </c>
    </row>
    <row r="36" spans="2:7" x14ac:dyDescent="0.25">
      <c r="B36" s="240" t="s">
        <v>3164</v>
      </c>
      <c r="C36" s="326" t="s">
        <v>1408</v>
      </c>
      <c r="D36" s="328" t="s">
        <v>1409</v>
      </c>
      <c r="E36" s="327" t="s">
        <v>1082</v>
      </c>
      <c r="F36" s="243">
        <v>4</v>
      </c>
      <c r="G36" s="243">
        <v>411.83</v>
      </c>
    </row>
    <row r="37" spans="2:7" x14ac:dyDescent="0.25">
      <c r="B37" s="240" t="s">
        <v>2956</v>
      </c>
      <c r="C37" s="326" t="s">
        <v>1363</v>
      </c>
      <c r="D37" s="328" t="s">
        <v>1364</v>
      </c>
      <c r="E37" s="327" t="s">
        <v>1082</v>
      </c>
      <c r="F37" s="243">
        <v>20</v>
      </c>
      <c r="G37" s="243">
        <v>34.119999999999997</v>
      </c>
    </row>
    <row r="38" spans="2:7" x14ac:dyDescent="0.25">
      <c r="B38" s="240" t="s">
        <v>2956</v>
      </c>
      <c r="C38" s="326" t="s">
        <v>1360</v>
      </c>
      <c r="D38" s="328" t="s">
        <v>1361</v>
      </c>
      <c r="E38" s="327" t="s">
        <v>1082</v>
      </c>
      <c r="F38" s="243">
        <v>72</v>
      </c>
      <c r="G38" s="243">
        <v>31.74</v>
      </c>
    </row>
    <row r="39" spans="2:7" x14ac:dyDescent="0.25">
      <c r="B39" s="240" t="s">
        <v>2882</v>
      </c>
      <c r="C39" s="326" t="s">
        <v>1090</v>
      </c>
      <c r="D39" s="328" t="s">
        <v>1091</v>
      </c>
      <c r="E39" s="327" t="s">
        <v>1082</v>
      </c>
      <c r="F39" s="243">
        <v>5</v>
      </c>
      <c r="G39" s="243">
        <v>59.82</v>
      </c>
    </row>
    <row r="40" spans="2:7" x14ac:dyDescent="0.25">
      <c r="B40" s="240" t="s">
        <v>2882</v>
      </c>
      <c r="C40" s="326" t="s">
        <v>1093</v>
      </c>
      <c r="D40" s="328" t="s">
        <v>1094</v>
      </c>
      <c r="E40" s="327" t="s">
        <v>1082</v>
      </c>
      <c r="F40" s="243">
        <v>2</v>
      </c>
      <c r="G40" s="243">
        <v>114.19</v>
      </c>
    </row>
    <row r="41" spans="2:7" x14ac:dyDescent="0.25">
      <c r="B41" s="240" t="s">
        <v>2882</v>
      </c>
      <c r="C41" s="326" t="s">
        <v>3273</v>
      </c>
      <c r="D41" s="328" t="s">
        <v>1141</v>
      </c>
      <c r="E41" s="327" t="s">
        <v>1082</v>
      </c>
      <c r="F41" s="243">
        <v>2</v>
      </c>
      <c r="G41" s="243">
        <v>140.1</v>
      </c>
    </row>
    <row r="42" spans="2:7" x14ac:dyDescent="0.25">
      <c r="B42" s="240" t="s">
        <v>2882</v>
      </c>
      <c r="C42" s="326" t="s">
        <v>1138</v>
      </c>
      <c r="D42" s="328" t="s">
        <v>1139</v>
      </c>
      <c r="E42" s="327" t="s">
        <v>1082</v>
      </c>
      <c r="F42" s="243">
        <v>6</v>
      </c>
      <c r="G42" s="243">
        <v>130.66999999999999</v>
      </c>
    </row>
    <row r="43" spans="2:7" x14ac:dyDescent="0.25">
      <c r="B43" s="240" t="s">
        <v>2882</v>
      </c>
      <c r="C43" s="326" t="s">
        <v>1225</v>
      </c>
      <c r="D43" s="328" t="s">
        <v>1226</v>
      </c>
      <c r="E43" s="327" t="s">
        <v>1082</v>
      </c>
      <c r="F43" s="243">
        <v>118</v>
      </c>
      <c r="G43" s="243">
        <v>12.13</v>
      </c>
    </row>
    <row r="44" spans="2:7" x14ac:dyDescent="0.25">
      <c r="B44" s="240" t="s">
        <v>2882</v>
      </c>
      <c r="C44" s="326" t="s">
        <v>1228</v>
      </c>
      <c r="D44" s="328" t="s">
        <v>1229</v>
      </c>
      <c r="E44" s="327" t="s">
        <v>1082</v>
      </c>
      <c r="F44" s="243">
        <v>14</v>
      </c>
      <c r="G44" s="243">
        <v>17.670000000000002</v>
      </c>
    </row>
    <row r="45" spans="2:7" x14ac:dyDescent="0.25">
      <c r="B45" s="240" t="s">
        <v>2882</v>
      </c>
      <c r="C45" s="326" t="s">
        <v>1222</v>
      </c>
      <c r="D45" s="328" t="s">
        <v>1223</v>
      </c>
      <c r="E45" s="327" t="s">
        <v>1082</v>
      </c>
      <c r="F45" s="243">
        <v>4</v>
      </c>
      <c r="G45" s="243">
        <v>30.91</v>
      </c>
    </row>
    <row r="46" spans="2:7" x14ac:dyDescent="0.25">
      <c r="B46" s="240" t="s">
        <v>2882</v>
      </c>
      <c r="C46" s="326" t="s">
        <v>1252</v>
      </c>
      <c r="D46" s="328" t="s">
        <v>1253</v>
      </c>
      <c r="E46" s="327" t="s">
        <v>1082</v>
      </c>
      <c r="F46" s="243">
        <v>1</v>
      </c>
      <c r="G46" s="243">
        <v>27.27</v>
      </c>
    </row>
    <row r="47" spans="2:7" x14ac:dyDescent="0.25">
      <c r="B47" s="240" t="s">
        <v>2882</v>
      </c>
      <c r="C47" s="326" t="s">
        <v>1231</v>
      </c>
      <c r="D47" s="328" t="s">
        <v>1232</v>
      </c>
      <c r="E47" s="327" t="s">
        <v>1082</v>
      </c>
      <c r="F47" s="243">
        <v>8</v>
      </c>
      <c r="G47" s="243">
        <v>12.02</v>
      </c>
    </row>
    <row r="48" spans="2:7" x14ac:dyDescent="0.25">
      <c r="B48" s="240" t="s">
        <v>2882</v>
      </c>
      <c r="C48" s="326" t="s">
        <v>1234</v>
      </c>
      <c r="D48" s="328" t="s">
        <v>1235</v>
      </c>
      <c r="E48" s="327" t="s">
        <v>1082</v>
      </c>
      <c r="F48" s="243">
        <v>32</v>
      </c>
      <c r="G48" s="243">
        <v>15.65</v>
      </c>
    </row>
    <row r="49" spans="2:7" x14ac:dyDescent="0.25">
      <c r="B49" s="240" t="s">
        <v>2956</v>
      </c>
      <c r="C49" s="326" t="s">
        <v>1255</v>
      </c>
      <c r="D49" s="329" t="s">
        <v>1256</v>
      </c>
      <c r="E49" s="327" t="s">
        <v>1082</v>
      </c>
      <c r="F49" s="243">
        <v>108</v>
      </c>
      <c r="G49" s="243">
        <v>58.28</v>
      </c>
    </row>
    <row r="50" spans="2:7" x14ac:dyDescent="0.25">
      <c r="B50" s="240" t="s">
        <v>2956</v>
      </c>
      <c r="C50" s="326" t="s">
        <v>1258</v>
      </c>
      <c r="D50" s="328" t="s">
        <v>1259</v>
      </c>
      <c r="E50" s="327" t="s">
        <v>1082</v>
      </c>
      <c r="F50" s="243">
        <v>24</v>
      </c>
      <c r="G50" s="243">
        <v>182.59</v>
      </c>
    </row>
    <row r="51" spans="2:7" x14ac:dyDescent="0.25">
      <c r="B51" s="240" t="s">
        <v>504</v>
      </c>
      <c r="C51" s="326" t="s">
        <v>1435</v>
      </c>
      <c r="D51" s="241" t="s">
        <v>1436</v>
      </c>
      <c r="E51" s="327" t="s">
        <v>1082</v>
      </c>
      <c r="F51" s="243">
        <v>1</v>
      </c>
      <c r="G51" s="243">
        <v>414.75</v>
      </c>
    </row>
    <row r="52" spans="2:7" x14ac:dyDescent="0.25">
      <c r="B52" s="240" t="s">
        <v>2882</v>
      </c>
      <c r="C52" s="326" t="s">
        <v>1186</v>
      </c>
      <c r="D52" s="328" t="s">
        <v>1187</v>
      </c>
      <c r="E52" s="327" t="s">
        <v>1082</v>
      </c>
      <c r="F52" s="243">
        <v>6</v>
      </c>
      <c r="G52" s="243">
        <v>2.99</v>
      </c>
    </row>
    <row r="53" spans="2:7" x14ac:dyDescent="0.25">
      <c r="B53" s="240" t="s">
        <v>2882</v>
      </c>
      <c r="C53" s="326" t="s">
        <v>1192</v>
      </c>
      <c r="D53" s="328" t="s">
        <v>1193</v>
      </c>
      <c r="E53" s="327" t="s">
        <v>1082</v>
      </c>
      <c r="F53" s="243">
        <v>17</v>
      </c>
      <c r="G53" s="243">
        <v>8.2100000000000009</v>
      </c>
    </row>
    <row r="54" spans="2:7" x14ac:dyDescent="0.25">
      <c r="B54" s="240" t="s">
        <v>2882</v>
      </c>
      <c r="C54" s="326" t="s">
        <v>1168</v>
      </c>
      <c r="D54" s="328" t="s">
        <v>1169</v>
      </c>
      <c r="E54" s="327" t="s">
        <v>1082</v>
      </c>
      <c r="F54" s="243">
        <v>402</v>
      </c>
      <c r="G54" s="243">
        <v>8.65</v>
      </c>
    </row>
    <row r="55" spans="2:7" x14ac:dyDescent="0.25">
      <c r="B55" s="240" t="s">
        <v>2882</v>
      </c>
      <c r="C55" s="326" t="s">
        <v>1165</v>
      </c>
      <c r="D55" s="328" t="s">
        <v>1166</v>
      </c>
      <c r="E55" s="327" t="s">
        <v>1082</v>
      </c>
      <c r="F55" s="243">
        <v>617</v>
      </c>
      <c r="G55" s="243">
        <v>4.88</v>
      </c>
    </row>
    <row r="56" spans="2:7" x14ac:dyDescent="0.25">
      <c r="B56" s="240" t="s">
        <v>2882</v>
      </c>
      <c r="C56" s="326" t="s">
        <v>1189</v>
      </c>
      <c r="D56" s="328" t="s">
        <v>1190</v>
      </c>
      <c r="E56" s="327" t="s">
        <v>1082</v>
      </c>
      <c r="F56" s="243">
        <v>106</v>
      </c>
      <c r="G56" s="243">
        <v>7.18</v>
      </c>
    </row>
    <row r="57" spans="2:7" x14ac:dyDescent="0.25">
      <c r="B57" s="240" t="s">
        <v>2882</v>
      </c>
      <c r="C57" s="326" t="s">
        <v>1195</v>
      </c>
      <c r="D57" s="328" t="s">
        <v>1196</v>
      </c>
      <c r="E57" s="327" t="s">
        <v>1082</v>
      </c>
      <c r="F57" s="243">
        <v>31</v>
      </c>
      <c r="G57" s="243">
        <v>19.350000000000001</v>
      </c>
    </row>
    <row r="58" spans="2:7" x14ac:dyDescent="0.25">
      <c r="B58" s="240" t="s">
        <v>2882</v>
      </c>
      <c r="C58" s="326" t="s">
        <v>1198</v>
      </c>
      <c r="D58" s="328" t="s">
        <v>1199</v>
      </c>
      <c r="E58" s="327" t="s">
        <v>1082</v>
      </c>
      <c r="F58" s="243">
        <v>2</v>
      </c>
      <c r="G58" s="243">
        <v>52.69</v>
      </c>
    </row>
    <row r="59" spans="2:7" x14ac:dyDescent="0.25">
      <c r="B59" s="240" t="s">
        <v>504</v>
      </c>
      <c r="C59" s="326" t="s">
        <v>1429</v>
      </c>
      <c r="D59" s="241" t="s">
        <v>1430</v>
      </c>
      <c r="E59" s="327" t="s">
        <v>1082</v>
      </c>
      <c r="F59" s="243">
        <v>3</v>
      </c>
      <c r="G59" s="243">
        <v>143.72</v>
      </c>
    </row>
    <row r="60" spans="2:7" x14ac:dyDescent="0.25">
      <c r="B60" s="240" t="s">
        <v>2956</v>
      </c>
      <c r="C60" s="326" t="s">
        <v>1261</v>
      </c>
      <c r="D60" s="328" t="s">
        <v>1262</v>
      </c>
      <c r="E60" s="327" t="s">
        <v>1082</v>
      </c>
      <c r="F60" s="243">
        <v>1</v>
      </c>
      <c r="G60" s="243">
        <v>26.19</v>
      </c>
    </row>
    <row r="61" spans="2:7" x14ac:dyDescent="0.25">
      <c r="B61" s="240" t="s">
        <v>2956</v>
      </c>
      <c r="C61" s="326" t="s">
        <v>1264</v>
      </c>
      <c r="D61" s="328" t="s">
        <v>1265</v>
      </c>
      <c r="E61" s="327" t="s">
        <v>1082</v>
      </c>
      <c r="F61" s="243">
        <v>1</v>
      </c>
      <c r="G61" s="243">
        <v>121.83</v>
      </c>
    </row>
    <row r="62" spans="2:7" x14ac:dyDescent="0.25">
      <c r="B62" s="240" t="s">
        <v>2882</v>
      </c>
      <c r="C62" s="326" t="s">
        <v>1096</v>
      </c>
      <c r="D62" s="328" t="s">
        <v>1097</v>
      </c>
      <c r="E62" s="327" t="s">
        <v>1082</v>
      </c>
      <c r="F62" s="243">
        <v>4</v>
      </c>
      <c r="G62" s="243">
        <v>2.87</v>
      </c>
    </row>
    <row r="63" spans="2:7" x14ac:dyDescent="0.25">
      <c r="B63" s="240" t="s">
        <v>2882</v>
      </c>
      <c r="C63" s="326" t="s">
        <v>1204</v>
      </c>
      <c r="D63" s="328" t="s">
        <v>1205</v>
      </c>
      <c r="E63" s="327" t="s">
        <v>1082</v>
      </c>
      <c r="F63" s="243">
        <v>106</v>
      </c>
      <c r="G63" s="243">
        <v>184.57</v>
      </c>
    </row>
    <row r="64" spans="2:7" x14ac:dyDescent="0.25">
      <c r="B64" s="240" t="s">
        <v>2882</v>
      </c>
      <c r="C64" s="326" t="s">
        <v>1174</v>
      </c>
      <c r="D64" s="328" t="s">
        <v>1175</v>
      </c>
      <c r="E64" s="327" t="s">
        <v>1082</v>
      </c>
      <c r="F64" s="243">
        <v>18</v>
      </c>
      <c r="G64" s="243">
        <v>7.15</v>
      </c>
    </row>
    <row r="65" spans="2:7" x14ac:dyDescent="0.25">
      <c r="B65" s="240" t="s">
        <v>2882</v>
      </c>
      <c r="C65" s="326" t="s">
        <v>1171</v>
      </c>
      <c r="D65" s="328" t="s">
        <v>1172</v>
      </c>
      <c r="E65" s="327" t="s">
        <v>1082</v>
      </c>
      <c r="F65" s="243">
        <v>9</v>
      </c>
      <c r="G65" s="243">
        <v>10.06</v>
      </c>
    </row>
    <row r="66" spans="2:7" x14ac:dyDescent="0.25">
      <c r="B66" s="240" t="s">
        <v>2956</v>
      </c>
      <c r="C66" s="326" t="s">
        <v>1267</v>
      </c>
      <c r="D66" s="328" t="s">
        <v>1268</v>
      </c>
      <c r="E66" s="327" t="s">
        <v>1082</v>
      </c>
      <c r="F66" s="243">
        <v>2</v>
      </c>
      <c r="G66" s="243">
        <v>5.91</v>
      </c>
    </row>
    <row r="67" spans="2:7" x14ac:dyDescent="0.25">
      <c r="B67" s="240" t="s">
        <v>2956</v>
      </c>
      <c r="C67" s="326" t="s">
        <v>1336</v>
      </c>
      <c r="D67" s="328" t="s">
        <v>1337</v>
      </c>
      <c r="E67" s="327" t="s">
        <v>1082</v>
      </c>
      <c r="F67" s="243">
        <v>1</v>
      </c>
      <c r="G67" s="243">
        <v>8976.48</v>
      </c>
    </row>
    <row r="68" spans="2:7" x14ac:dyDescent="0.25">
      <c r="B68" s="240" t="s">
        <v>2956</v>
      </c>
      <c r="C68" s="326" t="s">
        <v>1333</v>
      </c>
      <c r="D68" s="328" t="s">
        <v>1334</v>
      </c>
      <c r="E68" s="327" t="s">
        <v>1082</v>
      </c>
      <c r="F68" s="243">
        <v>1</v>
      </c>
      <c r="G68" s="243">
        <v>1795.3</v>
      </c>
    </row>
    <row r="69" spans="2:7" x14ac:dyDescent="0.25">
      <c r="B69" s="240" t="s">
        <v>504</v>
      </c>
      <c r="C69" s="326" t="s">
        <v>1378</v>
      </c>
      <c r="D69" s="328" t="s">
        <v>1379</v>
      </c>
      <c r="E69" s="327" t="s">
        <v>1082</v>
      </c>
      <c r="F69" s="243">
        <v>1</v>
      </c>
      <c r="G69" s="243">
        <v>6539.84</v>
      </c>
    </row>
    <row r="70" spans="2:7" x14ac:dyDescent="0.25">
      <c r="B70" s="240" t="s">
        <v>2956</v>
      </c>
      <c r="C70" s="326" t="s">
        <v>1270</v>
      </c>
      <c r="D70" s="328" t="s">
        <v>1271</v>
      </c>
      <c r="E70" s="327" t="s">
        <v>1082</v>
      </c>
      <c r="F70" s="243">
        <v>1</v>
      </c>
      <c r="G70" s="243">
        <v>269.43</v>
      </c>
    </row>
    <row r="71" spans="2:7" x14ac:dyDescent="0.25">
      <c r="B71" s="240" t="s">
        <v>2882</v>
      </c>
      <c r="C71" s="326" t="s">
        <v>1213</v>
      </c>
      <c r="D71" s="328" t="s">
        <v>1214</v>
      </c>
      <c r="E71" s="327" t="s">
        <v>473</v>
      </c>
      <c r="F71" s="243">
        <v>4922.83</v>
      </c>
      <c r="G71" s="243">
        <v>7.23</v>
      </c>
    </row>
    <row r="72" spans="2:7" x14ac:dyDescent="0.25">
      <c r="B72" s="240" t="s">
        <v>2956</v>
      </c>
      <c r="C72" s="326" t="s">
        <v>1273</v>
      </c>
      <c r="D72" s="328" t="s">
        <v>1274</v>
      </c>
      <c r="E72" s="327" t="s">
        <v>1082</v>
      </c>
      <c r="F72" s="243">
        <v>29</v>
      </c>
      <c r="G72" s="243">
        <v>108.52</v>
      </c>
    </row>
    <row r="73" spans="2:7" x14ac:dyDescent="0.25">
      <c r="B73" s="240" t="s">
        <v>2882</v>
      </c>
      <c r="C73" s="326" t="s">
        <v>1210</v>
      </c>
      <c r="D73" s="328" t="s">
        <v>1211</v>
      </c>
      <c r="E73" s="327" t="s">
        <v>1082</v>
      </c>
      <c r="F73" s="243">
        <v>128</v>
      </c>
      <c r="G73" s="243">
        <v>50.84</v>
      </c>
    </row>
    <row r="74" spans="2:7" x14ac:dyDescent="0.25">
      <c r="B74" s="240" t="s">
        <v>2956</v>
      </c>
      <c r="C74" s="326" t="s">
        <v>1276</v>
      </c>
      <c r="D74" s="328" t="s">
        <v>1277</v>
      </c>
      <c r="E74" s="327" t="s">
        <v>1082</v>
      </c>
      <c r="F74" s="243">
        <v>2</v>
      </c>
      <c r="G74" s="243">
        <v>141.94999999999999</v>
      </c>
    </row>
    <row r="75" spans="2:7" x14ac:dyDescent="0.25">
      <c r="B75" s="240" t="s">
        <v>2882</v>
      </c>
      <c r="C75" s="326" t="s">
        <v>2987</v>
      </c>
      <c r="D75" s="328" t="s">
        <v>1143</v>
      </c>
      <c r="E75" s="327" t="s">
        <v>1082</v>
      </c>
      <c r="F75" s="243">
        <v>292</v>
      </c>
      <c r="G75" s="243">
        <v>72.569999999999993</v>
      </c>
    </row>
    <row r="76" spans="2:7" x14ac:dyDescent="0.25">
      <c r="B76" s="240" t="s">
        <v>2882</v>
      </c>
      <c r="C76" s="326" t="s">
        <v>1207</v>
      </c>
      <c r="D76" s="328" t="s">
        <v>1208</v>
      </c>
      <c r="E76" s="327" t="s">
        <v>1082</v>
      </c>
      <c r="F76" s="243">
        <v>242</v>
      </c>
      <c r="G76" s="243">
        <v>48.35</v>
      </c>
    </row>
    <row r="77" spans="2:7" x14ac:dyDescent="0.25">
      <c r="B77" s="240" t="s">
        <v>2882</v>
      </c>
      <c r="C77" s="326" t="s">
        <v>3104</v>
      </c>
      <c r="D77" s="328" t="s">
        <v>1157</v>
      </c>
      <c r="E77" s="327" t="s">
        <v>1082</v>
      </c>
      <c r="F77" s="243">
        <v>1</v>
      </c>
      <c r="G77" s="243">
        <v>90.38</v>
      </c>
    </row>
    <row r="78" spans="2:7" x14ac:dyDescent="0.25">
      <c r="B78" s="240" t="s">
        <v>2882</v>
      </c>
      <c r="C78" s="326" t="s">
        <v>1099</v>
      </c>
      <c r="D78" s="328" t="s">
        <v>1100</v>
      </c>
      <c r="E78" s="327" t="s">
        <v>1082</v>
      </c>
      <c r="F78" s="243">
        <v>1</v>
      </c>
      <c r="G78" s="243">
        <v>48.74</v>
      </c>
    </row>
    <row r="79" spans="2:7" x14ac:dyDescent="0.25">
      <c r="B79" s="240" t="s">
        <v>2882</v>
      </c>
      <c r="C79" s="326" t="s">
        <v>1111</v>
      </c>
      <c r="D79" s="328" t="s">
        <v>1112</v>
      </c>
      <c r="E79" s="327" t="s">
        <v>1082</v>
      </c>
      <c r="F79" s="243">
        <v>2</v>
      </c>
      <c r="G79" s="243">
        <v>67.88</v>
      </c>
    </row>
    <row r="80" spans="2:7" x14ac:dyDescent="0.25">
      <c r="B80" s="240" t="s">
        <v>2882</v>
      </c>
      <c r="C80" s="326" t="s">
        <v>1102</v>
      </c>
      <c r="D80" s="328" t="s">
        <v>1103</v>
      </c>
      <c r="E80" s="327" t="s">
        <v>1082</v>
      </c>
      <c r="F80" s="243">
        <v>7</v>
      </c>
      <c r="G80" s="243">
        <v>140.79</v>
      </c>
    </row>
    <row r="81" spans="2:7" x14ac:dyDescent="0.25">
      <c r="B81" s="240" t="s">
        <v>2882</v>
      </c>
      <c r="C81" s="326" t="s">
        <v>1105</v>
      </c>
      <c r="D81" s="328" t="s">
        <v>1106</v>
      </c>
      <c r="E81" s="327" t="s">
        <v>1082</v>
      </c>
      <c r="F81" s="243">
        <v>2</v>
      </c>
      <c r="G81" s="243">
        <v>260.33</v>
      </c>
    </row>
    <row r="82" spans="2:7" x14ac:dyDescent="0.25">
      <c r="B82" s="240" t="s">
        <v>2882</v>
      </c>
      <c r="C82" s="326" t="s">
        <v>1108</v>
      </c>
      <c r="D82" s="328" t="s">
        <v>1109</v>
      </c>
      <c r="E82" s="327" t="s">
        <v>1082</v>
      </c>
      <c r="F82" s="243">
        <v>4</v>
      </c>
      <c r="G82" s="243">
        <v>443.63</v>
      </c>
    </row>
    <row r="83" spans="2:7" x14ac:dyDescent="0.25">
      <c r="B83" s="240" t="s">
        <v>2956</v>
      </c>
      <c r="C83" s="326" t="s">
        <v>1330</v>
      </c>
      <c r="D83" s="328" t="s">
        <v>1331</v>
      </c>
      <c r="E83" s="327" t="s">
        <v>1082</v>
      </c>
      <c r="F83" s="243">
        <v>1</v>
      </c>
      <c r="G83" s="243">
        <v>11.53</v>
      </c>
    </row>
    <row r="84" spans="2:7" x14ac:dyDescent="0.25">
      <c r="B84" s="240" t="s">
        <v>2956</v>
      </c>
      <c r="C84" s="326" t="s">
        <v>1279</v>
      </c>
      <c r="D84" s="328" t="s">
        <v>1280</v>
      </c>
      <c r="E84" s="327" t="s">
        <v>1082</v>
      </c>
      <c r="F84" s="243">
        <v>133</v>
      </c>
      <c r="G84" s="243">
        <v>12.15</v>
      </c>
    </row>
    <row r="85" spans="2:7" x14ac:dyDescent="0.25">
      <c r="B85" s="240" t="s">
        <v>2956</v>
      </c>
      <c r="C85" s="326" t="s">
        <v>1282</v>
      </c>
      <c r="D85" s="328" t="s">
        <v>1283</v>
      </c>
      <c r="E85" s="327" t="s">
        <v>1082</v>
      </c>
      <c r="F85" s="243">
        <v>11</v>
      </c>
      <c r="G85" s="243">
        <v>16.809999999999999</v>
      </c>
    </row>
    <row r="86" spans="2:7" x14ac:dyDescent="0.25">
      <c r="B86" s="240" t="s">
        <v>2956</v>
      </c>
      <c r="C86" s="326" t="s">
        <v>1285</v>
      </c>
      <c r="D86" s="328" t="s">
        <v>1286</v>
      </c>
      <c r="E86" s="327" t="s">
        <v>1082</v>
      </c>
      <c r="F86" s="243">
        <v>2</v>
      </c>
      <c r="G86" s="243">
        <v>35.31</v>
      </c>
    </row>
    <row r="87" spans="2:7" x14ac:dyDescent="0.25">
      <c r="B87" s="240" t="s">
        <v>2956</v>
      </c>
      <c r="C87" s="326" t="s">
        <v>1288</v>
      </c>
      <c r="D87" s="328" t="s">
        <v>1289</v>
      </c>
      <c r="E87" s="327" t="s">
        <v>1082</v>
      </c>
      <c r="F87" s="243">
        <v>1</v>
      </c>
      <c r="G87" s="243">
        <v>43.45</v>
      </c>
    </row>
    <row r="88" spans="2:7" x14ac:dyDescent="0.25">
      <c r="B88" s="240" t="s">
        <v>2956</v>
      </c>
      <c r="C88" s="326" t="s">
        <v>1369</v>
      </c>
      <c r="D88" s="328" t="s">
        <v>1370</v>
      </c>
      <c r="E88" s="327" t="s">
        <v>1082</v>
      </c>
      <c r="F88" s="243">
        <v>9</v>
      </c>
      <c r="G88" s="243">
        <v>29.73</v>
      </c>
    </row>
    <row r="89" spans="2:7" x14ac:dyDescent="0.25">
      <c r="B89" s="240" t="s">
        <v>504</v>
      </c>
      <c r="C89" s="326" t="s">
        <v>1387</v>
      </c>
      <c r="D89" s="328" t="s">
        <v>1388</v>
      </c>
      <c r="E89" s="327" t="s">
        <v>1082</v>
      </c>
      <c r="F89" s="243">
        <v>3</v>
      </c>
      <c r="G89" s="243">
        <v>97.92</v>
      </c>
    </row>
    <row r="90" spans="2:7" x14ac:dyDescent="0.25">
      <c r="B90" s="240" t="s">
        <v>2882</v>
      </c>
      <c r="C90" s="326" t="s">
        <v>1201</v>
      </c>
      <c r="D90" s="328" t="s">
        <v>1202</v>
      </c>
      <c r="E90" s="327" t="s">
        <v>1082</v>
      </c>
      <c r="F90" s="243">
        <v>88</v>
      </c>
      <c r="G90" s="243">
        <v>12.04</v>
      </c>
    </row>
    <row r="91" spans="2:7" x14ac:dyDescent="0.25">
      <c r="B91" s="240" t="s">
        <v>504</v>
      </c>
      <c r="C91" s="326" t="s">
        <v>1390</v>
      </c>
      <c r="D91" s="328" t="s">
        <v>1391</v>
      </c>
      <c r="E91" s="327" t="s">
        <v>1082</v>
      </c>
      <c r="F91" s="243">
        <v>6</v>
      </c>
      <c r="G91" s="243">
        <v>37.29</v>
      </c>
    </row>
    <row r="92" spans="2:7" x14ac:dyDescent="0.25">
      <c r="B92" s="240" t="s">
        <v>504</v>
      </c>
      <c r="C92" s="326" t="s">
        <v>1393</v>
      </c>
      <c r="D92" s="328" t="s">
        <v>1394</v>
      </c>
      <c r="E92" s="327" t="s">
        <v>1082</v>
      </c>
      <c r="F92" s="243">
        <v>11</v>
      </c>
      <c r="G92" s="243">
        <v>60.21</v>
      </c>
    </row>
    <row r="93" spans="2:7" x14ac:dyDescent="0.25">
      <c r="B93" s="240" t="s">
        <v>2882</v>
      </c>
      <c r="C93" s="326" t="s">
        <v>1117</v>
      </c>
      <c r="D93" s="328" t="s">
        <v>1118</v>
      </c>
      <c r="E93" s="327" t="s">
        <v>1082</v>
      </c>
      <c r="F93" s="243">
        <v>1</v>
      </c>
      <c r="G93" s="243">
        <v>75.08</v>
      </c>
    </row>
    <row r="94" spans="2:7" x14ac:dyDescent="0.25">
      <c r="B94" s="240" t="s">
        <v>2882</v>
      </c>
      <c r="C94" s="326" t="s">
        <v>1114</v>
      </c>
      <c r="D94" s="328" t="s">
        <v>1115</v>
      </c>
      <c r="E94" s="327" t="s">
        <v>1082</v>
      </c>
      <c r="F94" s="243">
        <v>5</v>
      </c>
      <c r="G94" s="243">
        <v>142.99</v>
      </c>
    </row>
    <row r="95" spans="2:7" x14ac:dyDescent="0.25">
      <c r="B95" s="240" t="s">
        <v>504</v>
      </c>
      <c r="C95" s="326" t="s">
        <v>1432</v>
      </c>
      <c r="D95" s="241" t="s">
        <v>1433</v>
      </c>
      <c r="E95" s="327" t="s">
        <v>1082</v>
      </c>
      <c r="F95" s="243">
        <v>2</v>
      </c>
      <c r="G95" s="243">
        <v>72.819999999999993</v>
      </c>
    </row>
    <row r="96" spans="2:7" x14ac:dyDescent="0.25">
      <c r="B96" s="240" t="s">
        <v>2956</v>
      </c>
      <c r="C96" s="326" t="s">
        <v>1291</v>
      </c>
      <c r="D96" s="328" t="s">
        <v>1292</v>
      </c>
      <c r="E96" s="327" t="s">
        <v>1082</v>
      </c>
      <c r="F96" s="243">
        <v>160</v>
      </c>
      <c r="G96" s="243">
        <v>5.99</v>
      </c>
    </row>
    <row r="97" spans="2:7" x14ac:dyDescent="0.25">
      <c r="B97" s="240" t="s">
        <v>2956</v>
      </c>
      <c r="C97" s="326" t="s">
        <v>1294</v>
      </c>
      <c r="D97" s="328" t="s">
        <v>1295</v>
      </c>
      <c r="E97" s="327" t="s">
        <v>1082</v>
      </c>
      <c r="F97" s="243">
        <v>127</v>
      </c>
      <c r="G97" s="243">
        <v>14.53</v>
      </c>
    </row>
    <row r="98" spans="2:7" x14ac:dyDescent="0.25">
      <c r="B98" s="240" t="s">
        <v>2956</v>
      </c>
      <c r="C98" s="326" t="s">
        <v>1297</v>
      </c>
      <c r="D98" s="328" t="s">
        <v>1298</v>
      </c>
      <c r="E98" s="327" t="s">
        <v>1082</v>
      </c>
      <c r="F98" s="243">
        <v>21</v>
      </c>
      <c r="G98" s="243">
        <v>28.96</v>
      </c>
    </row>
    <row r="99" spans="2:7" x14ac:dyDescent="0.25">
      <c r="B99" s="240" t="s">
        <v>504</v>
      </c>
      <c r="C99" s="326" t="s">
        <v>1372</v>
      </c>
      <c r="D99" s="328" t="s">
        <v>1373</v>
      </c>
      <c r="E99" s="327" t="s">
        <v>1082</v>
      </c>
      <c r="F99" s="243">
        <v>191</v>
      </c>
      <c r="G99" s="243">
        <v>13.43</v>
      </c>
    </row>
    <row r="100" spans="2:7" x14ac:dyDescent="0.25">
      <c r="B100" s="240" t="s">
        <v>2882</v>
      </c>
      <c r="C100" s="326" t="s">
        <v>1135</v>
      </c>
      <c r="D100" s="328" t="s">
        <v>1136</v>
      </c>
      <c r="E100" s="327" t="s">
        <v>1082</v>
      </c>
      <c r="F100" s="243">
        <v>1</v>
      </c>
      <c r="G100" s="243">
        <v>87.21</v>
      </c>
    </row>
    <row r="101" spans="2:7" x14ac:dyDescent="0.25">
      <c r="B101" s="240" t="s">
        <v>2956</v>
      </c>
      <c r="C101" s="326" t="s">
        <v>1300</v>
      </c>
      <c r="D101" s="328" t="s">
        <v>1301</v>
      </c>
      <c r="E101" s="327" t="s">
        <v>1082</v>
      </c>
      <c r="F101" s="243">
        <v>1</v>
      </c>
      <c r="G101" s="243">
        <v>24.95</v>
      </c>
    </row>
    <row r="102" spans="2:7" x14ac:dyDescent="0.25">
      <c r="B102" s="240" t="s">
        <v>504</v>
      </c>
      <c r="C102" s="326" t="s">
        <v>1420</v>
      </c>
      <c r="D102" s="328" t="s">
        <v>1421</v>
      </c>
      <c r="E102" s="327" t="s">
        <v>473</v>
      </c>
      <c r="F102" s="243">
        <v>6</v>
      </c>
      <c r="G102" s="243">
        <v>77.400000000000006</v>
      </c>
    </row>
    <row r="103" spans="2:7" x14ac:dyDescent="0.25">
      <c r="B103" s="240" t="s">
        <v>504</v>
      </c>
      <c r="C103" s="326" t="s">
        <v>1423</v>
      </c>
      <c r="D103" s="328" t="s">
        <v>1424</v>
      </c>
      <c r="E103" s="327" t="s">
        <v>473</v>
      </c>
      <c r="F103" s="243">
        <v>49.68</v>
      </c>
      <c r="G103" s="243">
        <v>47.86</v>
      </c>
    </row>
    <row r="104" spans="2:7" x14ac:dyDescent="0.25">
      <c r="B104" s="240" t="s">
        <v>504</v>
      </c>
      <c r="C104" s="326" t="s">
        <v>1441</v>
      </c>
      <c r="D104" s="241" t="s">
        <v>1442</v>
      </c>
      <c r="E104" s="327" t="s">
        <v>473</v>
      </c>
      <c r="F104" s="243">
        <v>8</v>
      </c>
      <c r="G104" s="243">
        <v>100</v>
      </c>
    </row>
    <row r="105" spans="2:7" x14ac:dyDescent="0.25">
      <c r="B105" s="240" t="s">
        <v>2956</v>
      </c>
      <c r="C105" s="326" t="s">
        <v>1303</v>
      </c>
      <c r="D105" s="328" t="s">
        <v>1304</v>
      </c>
      <c r="E105" s="327" t="s">
        <v>473</v>
      </c>
      <c r="F105" s="243">
        <v>782.16000000000008</v>
      </c>
      <c r="G105" s="243">
        <v>32.659999999999997</v>
      </c>
    </row>
    <row r="106" spans="2:7" x14ac:dyDescent="0.25">
      <c r="B106" s="240" t="s">
        <v>2956</v>
      </c>
      <c r="C106" s="326" t="s">
        <v>1306</v>
      </c>
      <c r="D106" s="328" t="s">
        <v>1307</v>
      </c>
      <c r="E106" s="327" t="s">
        <v>473</v>
      </c>
      <c r="F106" s="243">
        <v>610.28</v>
      </c>
      <c r="G106" s="243">
        <v>47.21</v>
      </c>
    </row>
    <row r="107" spans="2:7" x14ac:dyDescent="0.25">
      <c r="B107" s="240" t="s">
        <v>2956</v>
      </c>
      <c r="C107" s="326" t="s">
        <v>1309</v>
      </c>
      <c r="D107" s="328" t="s">
        <v>1310</v>
      </c>
      <c r="E107" s="327" t="s">
        <v>473</v>
      </c>
      <c r="F107" s="243">
        <v>41.87</v>
      </c>
      <c r="G107" s="243">
        <v>71.31</v>
      </c>
    </row>
    <row r="108" spans="2:7" x14ac:dyDescent="0.25">
      <c r="B108" s="240" t="s">
        <v>2956</v>
      </c>
      <c r="C108" s="326" t="s">
        <v>1312</v>
      </c>
      <c r="D108" s="328" t="s">
        <v>1313</v>
      </c>
      <c r="E108" s="327" t="s">
        <v>473</v>
      </c>
      <c r="F108" s="243">
        <v>116.42</v>
      </c>
      <c r="G108" s="243">
        <v>80.83</v>
      </c>
    </row>
    <row r="109" spans="2:7" x14ac:dyDescent="0.25">
      <c r="B109" s="240" t="s">
        <v>2956</v>
      </c>
      <c r="C109" s="326" t="s">
        <v>1315</v>
      </c>
      <c r="D109" s="328" t="s">
        <v>1316</v>
      </c>
      <c r="E109" s="327" t="s">
        <v>473</v>
      </c>
      <c r="F109" s="243">
        <v>181.78</v>
      </c>
      <c r="G109" s="243">
        <v>120.51</v>
      </c>
    </row>
    <row r="110" spans="2:7" x14ac:dyDescent="0.25">
      <c r="B110" s="240" t="s">
        <v>2956</v>
      </c>
      <c r="C110" s="326" t="s">
        <v>1318</v>
      </c>
      <c r="D110" s="328" t="s">
        <v>1319</v>
      </c>
      <c r="E110" s="327" t="s">
        <v>473</v>
      </c>
      <c r="F110" s="243">
        <v>2.5</v>
      </c>
      <c r="G110" s="243">
        <v>161.86000000000001</v>
      </c>
    </row>
    <row r="111" spans="2:7" x14ac:dyDescent="0.25">
      <c r="B111" s="240" t="s">
        <v>2956</v>
      </c>
      <c r="C111" s="326" t="s">
        <v>1321</v>
      </c>
      <c r="D111" s="328" t="s">
        <v>1322</v>
      </c>
      <c r="E111" s="327" t="s">
        <v>473</v>
      </c>
      <c r="F111" s="243">
        <v>142.36000000000001</v>
      </c>
      <c r="G111" s="243">
        <v>199.36</v>
      </c>
    </row>
    <row r="112" spans="2:7" x14ac:dyDescent="0.25">
      <c r="B112" s="240" t="s">
        <v>2882</v>
      </c>
      <c r="C112" s="326" t="s">
        <v>3018</v>
      </c>
      <c r="D112" s="328" t="s">
        <v>1152</v>
      </c>
      <c r="E112" s="327" t="s">
        <v>473</v>
      </c>
      <c r="F112" s="243">
        <v>26.4</v>
      </c>
      <c r="G112" s="243">
        <v>184.93</v>
      </c>
    </row>
    <row r="113" spans="2:7" x14ac:dyDescent="0.25">
      <c r="B113" s="240" t="s">
        <v>2956</v>
      </c>
      <c r="C113" s="326" t="s">
        <v>1324</v>
      </c>
      <c r="D113" s="328" t="s">
        <v>1325</v>
      </c>
      <c r="E113" s="327" t="s">
        <v>473</v>
      </c>
      <c r="F113" s="243">
        <v>72.91</v>
      </c>
      <c r="G113" s="243">
        <v>55.4</v>
      </c>
    </row>
    <row r="114" spans="2:7" x14ac:dyDescent="0.25">
      <c r="B114" s="240" t="s">
        <v>2882</v>
      </c>
      <c r="C114" s="326" t="s">
        <v>1120</v>
      </c>
      <c r="D114" s="328" t="s">
        <v>1121</v>
      </c>
      <c r="E114" s="327" t="s">
        <v>473</v>
      </c>
      <c r="F114" s="243">
        <v>6.6</v>
      </c>
      <c r="G114" s="243">
        <v>35.17</v>
      </c>
    </row>
    <row r="115" spans="2:7" x14ac:dyDescent="0.25">
      <c r="B115" s="240" t="s">
        <v>2882</v>
      </c>
      <c r="C115" s="326" t="s">
        <v>1162</v>
      </c>
      <c r="D115" s="328" t="s">
        <v>1163</v>
      </c>
      <c r="E115" s="327" t="s">
        <v>473</v>
      </c>
      <c r="F115" s="243">
        <v>1634.3600000000001</v>
      </c>
      <c r="G115" s="243">
        <v>11.78</v>
      </c>
    </row>
    <row r="116" spans="2:7" x14ac:dyDescent="0.25">
      <c r="B116" s="240" t="s">
        <v>2882</v>
      </c>
      <c r="C116" s="326" t="s">
        <v>1177</v>
      </c>
      <c r="D116" s="328" t="s">
        <v>1178</v>
      </c>
      <c r="E116" s="327" t="s">
        <v>473</v>
      </c>
      <c r="F116" s="243">
        <v>867.24</v>
      </c>
      <c r="G116" s="243">
        <v>9.17</v>
      </c>
    </row>
    <row r="117" spans="2:7" x14ac:dyDescent="0.25">
      <c r="B117" s="240" t="s">
        <v>2882</v>
      </c>
      <c r="C117" s="326" t="s">
        <v>1180</v>
      </c>
      <c r="D117" s="328" t="s">
        <v>1181</v>
      </c>
      <c r="E117" s="327" t="s">
        <v>473</v>
      </c>
      <c r="F117" s="243">
        <v>340.26000000000005</v>
      </c>
      <c r="G117" s="243">
        <v>14</v>
      </c>
    </row>
    <row r="118" spans="2:7" x14ac:dyDescent="0.25">
      <c r="B118" s="240" t="s">
        <v>2882</v>
      </c>
      <c r="C118" s="326" t="s">
        <v>1183</v>
      </c>
      <c r="D118" s="328" t="s">
        <v>1184</v>
      </c>
      <c r="E118" s="327" t="s">
        <v>473</v>
      </c>
      <c r="F118" s="243">
        <v>144.79000000000002</v>
      </c>
      <c r="G118" s="243">
        <v>19.489999999999998</v>
      </c>
    </row>
    <row r="119" spans="2:7" x14ac:dyDescent="0.25">
      <c r="B119" s="240" t="s">
        <v>2882</v>
      </c>
      <c r="C119" s="242" t="s">
        <v>1123</v>
      </c>
      <c r="D119" s="330" t="s">
        <v>1124</v>
      </c>
      <c r="E119" s="242" t="s">
        <v>1082</v>
      </c>
      <c r="F119" s="243">
        <v>2</v>
      </c>
      <c r="G119" s="243">
        <v>122.9</v>
      </c>
    </row>
    <row r="120" spans="2:7" x14ac:dyDescent="0.25">
      <c r="B120" s="240" t="s">
        <v>2882</v>
      </c>
      <c r="C120" s="242" t="s">
        <v>1126</v>
      </c>
      <c r="D120" s="328" t="s">
        <v>1127</v>
      </c>
      <c r="E120" s="242" t="s">
        <v>1082</v>
      </c>
      <c r="F120" s="243">
        <v>2</v>
      </c>
      <c r="G120" s="243">
        <v>164.78</v>
      </c>
    </row>
    <row r="121" spans="2:7" x14ac:dyDescent="0.25">
      <c r="B121" s="240" t="s">
        <v>2956</v>
      </c>
      <c r="C121" s="242" t="s">
        <v>1327</v>
      </c>
      <c r="D121" s="328" t="s">
        <v>1328</v>
      </c>
      <c r="E121" s="242" t="s">
        <v>1082</v>
      </c>
      <c r="F121" s="243">
        <v>137</v>
      </c>
      <c r="G121" s="243">
        <v>136.18</v>
      </c>
    </row>
    <row r="122" spans="2:7" x14ac:dyDescent="0.25">
      <c r="B122" s="240" t="s">
        <v>2882</v>
      </c>
      <c r="C122" s="242" t="s">
        <v>1145</v>
      </c>
      <c r="D122" s="328" t="s">
        <v>1146</v>
      </c>
      <c r="E122" s="242" t="s">
        <v>1082</v>
      </c>
      <c r="F122" s="243">
        <v>1</v>
      </c>
      <c r="G122" s="243">
        <v>234.69</v>
      </c>
    </row>
    <row r="123" spans="2:7" x14ac:dyDescent="0.25">
      <c r="B123" s="240" t="s">
        <v>2882</v>
      </c>
      <c r="C123" s="242" t="s">
        <v>1129</v>
      </c>
      <c r="D123" s="328" t="s">
        <v>1130</v>
      </c>
      <c r="E123" s="242" t="s">
        <v>1082</v>
      </c>
      <c r="F123" s="243">
        <v>2</v>
      </c>
      <c r="G123" s="243">
        <v>213.75</v>
      </c>
    </row>
    <row r="124" spans="2:7" x14ac:dyDescent="0.25">
      <c r="B124" s="240" t="s">
        <v>2882</v>
      </c>
      <c r="C124" s="242" t="s">
        <v>1132</v>
      </c>
      <c r="D124" s="328" t="s">
        <v>1133</v>
      </c>
      <c r="E124" s="242" t="s">
        <v>1082</v>
      </c>
      <c r="F124" s="243">
        <v>2</v>
      </c>
      <c r="G124" s="243">
        <v>329.22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00B0F0"/>
  </sheetPr>
  <dimension ref="A1:N987"/>
  <sheetViews>
    <sheetView tabSelected="1" view="pageBreakPreview" topLeftCell="A12" zoomScale="80" zoomScaleNormal="90" zoomScaleSheetLayoutView="80" workbookViewId="0">
      <pane ySplit="3" topLeftCell="A15" activePane="bottomLeft" state="frozen"/>
      <selection activeCell="A12" sqref="A12"/>
      <selection pane="bottomLeft" activeCell="K974" sqref="K974"/>
    </sheetView>
  </sheetViews>
  <sheetFormatPr defaultColWidth="8.75" defaultRowHeight="15.75" x14ac:dyDescent="0.25"/>
  <cols>
    <col min="1" max="1" width="9.25" style="355" customWidth="1"/>
    <col min="2" max="2" width="15.625" style="355" customWidth="1"/>
    <col min="3" max="3" width="18" style="370" customWidth="1"/>
    <col min="4" max="4" width="89.125" style="355" customWidth="1"/>
    <col min="5" max="5" width="7.25" style="370" customWidth="1"/>
    <col min="6" max="6" width="13.25" style="355" customWidth="1"/>
    <col min="7" max="7" width="13" style="355" customWidth="1"/>
    <col min="8" max="8" width="14.125" style="355" customWidth="1"/>
    <col min="9" max="9" width="14.25" style="355" customWidth="1"/>
    <col min="10" max="10" width="5.75" style="355" customWidth="1"/>
    <col min="11" max="11" width="7" style="355" customWidth="1"/>
    <col min="12" max="12" width="17" style="355" customWidth="1"/>
    <col min="13" max="13" width="13.875" style="355" bestFit="1" customWidth="1"/>
    <col min="14" max="16384" width="8.75" style="355"/>
  </cols>
  <sheetData>
    <row r="1" spans="1:13" ht="15.6" customHeight="1" x14ac:dyDescent="0.25">
      <c r="A1" s="351"/>
      <c r="B1" s="352"/>
      <c r="C1" s="353"/>
      <c r="D1" s="739" t="s">
        <v>294</v>
      </c>
      <c r="E1" s="740"/>
      <c r="F1" s="740"/>
      <c r="G1" s="740"/>
      <c r="H1" s="740"/>
      <c r="I1" s="741"/>
      <c r="J1" s="354"/>
    </row>
    <row r="2" spans="1:13" ht="15.6" customHeight="1" x14ac:dyDescent="0.25">
      <c r="A2" s="356"/>
      <c r="B2" s="357"/>
      <c r="C2" s="358"/>
      <c r="D2" s="742"/>
      <c r="E2" s="743"/>
      <c r="F2" s="743"/>
      <c r="G2" s="743"/>
      <c r="H2" s="743"/>
      <c r="I2" s="744"/>
      <c r="J2" s="354"/>
    </row>
    <row r="3" spans="1:13" ht="15.6" customHeight="1" x14ac:dyDescent="0.25">
      <c r="A3" s="356"/>
      <c r="B3" s="357"/>
      <c r="C3" s="358"/>
      <c r="D3" s="739" t="s">
        <v>295</v>
      </c>
      <c r="E3" s="740"/>
      <c r="F3" s="740"/>
      <c r="G3" s="740"/>
      <c r="H3" s="740"/>
      <c r="I3" s="741"/>
      <c r="J3" s="354"/>
    </row>
    <row r="4" spans="1:13" ht="15.6" customHeight="1" x14ac:dyDescent="0.25">
      <c r="A4" s="356"/>
      <c r="B4" s="357"/>
      <c r="C4" s="358"/>
      <c r="D4" s="742"/>
      <c r="E4" s="743"/>
      <c r="F4" s="743"/>
      <c r="G4" s="743"/>
      <c r="H4" s="743"/>
      <c r="I4" s="744"/>
      <c r="J4" s="354"/>
    </row>
    <row r="5" spans="1:13" ht="15.6" customHeight="1" x14ac:dyDescent="0.25">
      <c r="A5" s="356"/>
      <c r="B5" s="357"/>
      <c r="C5" s="358"/>
      <c r="D5" s="739" t="s">
        <v>296</v>
      </c>
      <c r="E5" s="740"/>
      <c r="F5" s="740"/>
      <c r="G5" s="740"/>
      <c r="H5" s="740"/>
      <c r="I5" s="741"/>
      <c r="J5" s="354"/>
      <c r="L5" s="644">
        <v>36901099.459999986</v>
      </c>
    </row>
    <row r="6" spans="1:13" ht="15.6" customHeight="1" x14ac:dyDescent="0.25">
      <c r="A6" s="359"/>
      <c r="B6" s="360"/>
      <c r="C6" s="361"/>
      <c r="D6" s="742"/>
      <c r="E6" s="743"/>
      <c r="F6" s="743"/>
      <c r="G6" s="743"/>
      <c r="H6" s="743"/>
      <c r="I6" s="744"/>
      <c r="J6" s="354"/>
      <c r="L6" s="645">
        <f>L13-L5</f>
        <v>-2176512.4400000051</v>
      </c>
    </row>
    <row r="7" spans="1:13" ht="13.5" customHeight="1" x14ac:dyDescent="0.25">
      <c r="A7" s="362"/>
      <c r="B7" s="363"/>
      <c r="C7" s="362"/>
      <c r="D7" s="362"/>
      <c r="E7" s="364"/>
      <c r="F7" s="365"/>
      <c r="G7" s="364"/>
      <c r="H7" s="364"/>
      <c r="I7" s="366"/>
      <c r="J7" s="367"/>
    </row>
    <row r="8" spans="1:13" ht="20.25" customHeight="1" x14ac:dyDescent="0.25">
      <c r="A8" s="754" t="s">
        <v>297</v>
      </c>
      <c r="B8" s="755"/>
      <c r="C8" s="755"/>
      <c r="D8" s="755"/>
      <c r="E8" s="755"/>
      <c r="F8" s="755"/>
      <c r="G8" s="755"/>
      <c r="H8" s="755"/>
      <c r="I8" s="756"/>
      <c r="J8" s="367"/>
    </row>
    <row r="9" spans="1:13" ht="4.1500000000000004" customHeight="1" x14ac:dyDescent="0.25">
      <c r="A9" s="362"/>
      <c r="B9" s="363"/>
      <c r="C9" s="362"/>
      <c r="D9" s="362"/>
      <c r="E9" s="364"/>
      <c r="F9" s="365"/>
      <c r="G9" s="364"/>
      <c r="H9" s="364"/>
      <c r="I9" s="366"/>
      <c r="J9" s="367"/>
    </row>
    <row r="10" spans="1:13" ht="15.6" customHeight="1" x14ac:dyDescent="0.25">
      <c r="A10" s="751" t="s">
        <v>298</v>
      </c>
      <c r="B10" s="752"/>
      <c r="C10" s="752"/>
      <c r="D10" s="752"/>
      <c r="E10" s="753"/>
      <c r="F10" s="745" t="s">
        <v>299</v>
      </c>
      <c r="G10" s="746"/>
      <c r="H10" s="746"/>
      <c r="I10" s="747"/>
      <c r="J10" s="368"/>
    </row>
    <row r="11" spans="1:13" ht="17.45" customHeight="1" x14ac:dyDescent="0.25">
      <c r="A11" s="751" t="s">
        <v>300</v>
      </c>
      <c r="B11" s="752"/>
      <c r="C11" s="752"/>
      <c r="D11" s="752"/>
      <c r="E11" s="753"/>
      <c r="F11" s="748" t="s">
        <v>301</v>
      </c>
      <c r="G11" s="749"/>
      <c r="H11" s="749"/>
      <c r="I11" s="750"/>
      <c r="J11" s="369"/>
    </row>
    <row r="12" spans="1:13" ht="7.15" customHeight="1" x14ac:dyDescent="0.25"/>
    <row r="13" spans="1:13" ht="30" customHeight="1" x14ac:dyDescent="0.25">
      <c r="A13" s="731" t="s">
        <v>302</v>
      </c>
      <c r="B13" s="732" t="s">
        <v>303</v>
      </c>
      <c r="C13" s="732" t="s">
        <v>304</v>
      </c>
      <c r="D13" s="731" t="s">
        <v>305</v>
      </c>
      <c r="E13" s="731" t="s">
        <v>306</v>
      </c>
      <c r="F13" s="729" t="s">
        <v>307</v>
      </c>
      <c r="G13" s="729" t="s">
        <v>308</v>
      </c>
      <c r="H13" s="648" t="s">
        <v>309</v>
      </c>
      <c r="I13" s="729" t="s">
        <v>310</v>
      </c>
      <c r="K13" s="611" t="s">
        <v>311</v>
      </c>
      <c r="L13" s="612">
        <f>I971</f>
        <v>34724587.019999981</v>
      </c>
      <c r="M13" s="615"/>
    </row>
    <row r="14" spans="1:13" x14ac:dyDescent="0.25">
      <c r="A14" s="732"/>
      <c r="B14" s="757"/>
      <c r="C14" s="757"/>
      <c r="D14" s="732"/>
      <c r="E14" s="732"/>
      <c r="F14" s="730"/>
      <c r="G14" s="730"/>
      <c r="H14" s="373">
        <f>BDI!D45/100</f>
        <v>0.24929999999999999</v>
      </c>
      <c r="I14" s="730"/>
      <c r="L14" s="550"/>
    </row>
    <row r="15" spans="1:13" x14ac:dyDescent="0.25">
      <c r="A15" s="577" t="s">
        <v>312</v>
      </c>
      <c r="B15" s="604"/>
      <c r="C15" s="588"/>
      <c r="D15" s="446" t="s">
        <v>313</v>
      </c>
      <c r="E15" s="447"/>
      <c r="F15" s="448"/>
      <c r="G15" s="448"/>
      <c r="H15" s="448"/>
      <c r="I15" s="449">
        <f>SUM(I16:I22)</f>
        <v>530310.32999999996</v>
      </c>
      <c r="L15" s="640"/>
    </row>
    <row r="16" spans="1:13" x14ac:dyDescent="0.25">
      <c r="A16" s="578" t="s">
        <v>314</v>
      </c>
      <c r="B16" s="605" t="s">
        <v>315</v>
      </c>
      <c r="C16" s="589" t="s">
        <v>316</v>
      </c>
      <c r="D16" s="392" t="s">
        <v>317</v>
      </c>
      <c r="E16" s="450" t="s">
        <v>318</v>
      </c>
      <c r="F16" s="451">
        <v>9</v>
      </c>
      <c r="G16" s="393">
        <v>257.56</v>
      </c>
      <c r="H16" s="382">
        <f>G16+(G16*$H$14)</f>
        <v>321.76970799999998</v>
      </c>
      <c r="I16" s="383">
        <f t="shared" ref="I16:I22" si="0">ROUND(H16*F16,2)</f>
        <v>2895.93</v>
      </c>
    </row>
    <row r="17" spans="1:13" x14ac:dyDescent="0.25">
      <c r="A17" s="579" t="s">
        <v>319</v>
      </c>
      <c r="B17" s="605" t="s">
        <v>320</v>
      </c>
      <c r="C17" s="589" t="s">
        <v>321</v>
      </c>
      <c r="D17" s="392" t="s">
        <v>322</v>
      </c>
      <c r="E17" s="450" t="s">
        <v>323</v>
      </c>
      <c r="F17" s="393">
        <f>PLOTAGEM!D24</f>
        <v>2160</v>
      </c>
      <c r="G17" s="393">
        <v>2.1</v>
      </c>
      <c r="H17" s="382">
        <f t="shared" ref="H17:H92" si="1">G17+(G17*$H$14)</f>
        <v>2.6235300000000001</v>
      </c>
      <c r="I17" s="383">
        <f t="shared" si="0"/>
        <v>5666.82</v>
      </c>
      <c r="L17" s="371"/>
    </row>
    <row r="18" spans="1:13" x14ac:dyDescent="0.25">
      <c r="A18" s="579" t="s">
        <v>324</v>
      </c>
      <c r="B18" s="624" t="s">
        <v>325</v>
      </c>
      <c r="C18" s="593" t="s">
        <v>326</v>
      </c>
      <c r="D18" s="417" t="s">
        <v>327</v>
      </c>
      <c r="E18" s="385" t="s">
        <v>323</v>
      </c>
      <c r="F18" s="406">
        <v>1</v>
      </c>
      <c r="G18" s="406">
        <v>127213.0322473065</v>
      </c>
      <c r="H18" s="382">
        <f>G18+(G18*$H$14)</f>
        <v>158927.24118656002</v>
      </c>
      <c r="I18" s="383">
        <f>ROUND(H18*F18,2)</f>
        <v>158927.24</v>
      </c>
      <c r="L18" s="371"/>
    </row>
    <row r="19" spans="1:13" x14ac:dyDescent="0.25">
      <c r="A19" s="579" t="s">
        <v>328</v>
      </c>
      <c r="B19" s="624" t="s">
        <v>325</v>
      </c>
      <c r="C19" s="593" t="s">
        <v>329</v>
      </c>
      <c r="D19" s="417" t="s">
        <v>330</v>
      </c>
      <c r="E19" s="385" t="s">
        <v>323</v>
      </c>
      <c r="F19" s="406">
        <v>1</v>
      </c>
      <c r="G19" s="406">
        <v>108151.43350855671</v>
      </c>
      <c r="H19" s="382">
        <f>G19+(G19*$H$14)</f>
        <v>135113.58588223992</v>
      </c>
      <c r="I19" s="383">
        <f>ROUND(H19*F19,2)</f>
        <v>135113.59</v>
      </c>
      <c r="L19" s="371"/>
    </row>
    <row r="20" spans="1:13" x14ac:dyDescent="0.25">
      <c r="A20" s="579" t="s">
        <v>331</v>
      </c>
      <c r="B20" s="624" t="s">
        <v>325</v>
      </c>
      <c r="C20" s="593" t="s">
        <v>332</v>
      </c>
      <c r="D20" s="417" t="s">
        <v>333</v>
      </c>
      <c r="E20" s="385" t="s">
        <v>323</v>
      </c>
      <c r="F20" s="394">
        <v>1</v>
      </c>
      <c r="G20" s="406">
        <v>154200.12672440571</v>
      </c>
      <c r="H20" s="382">
        <f t="shared" si="1"/>
        <v>192642.21831680005</v>
      </c>
      <c r="I20" s="383">
        <f t="shared" si="0"/>
        <v>192642.22</v>
      </c>
    </row>
    <row r="21" spans="1:13" x14ac:dyDescent="0.25">
      <c r="A21" s="579" t="s">
        <v>334</v>
      </c>
      <c r="B21" s="624" t="s">
        <v>325</v>
      </c>
      <c r="C21" s="593" t="s">
        <v>335</v>
      </c>
      <c r="D21" s="417" t="s">
        <v>336</v>
      </c>
      <c r="E21" s="385" t="s">
        <v>323</v>
      </c>
      <c r="F21" s="454">
        <v>1</v>
      </c>
      <c r="G21" s="406">
        <v>22014.226694372846</v>
      </c>
      <c r="H21" s="382">
        <f t="shared" si="1"/>
        <v>27502.373409279997</v>
      </c>
      <c r="I21" s="383">
        <f t="shared" si="0"/>
        <v>27502.37</v>
      </c>
      <c r="L21" s="371"/>
    </row>
    <row r="22" spans="1:13" ht="28.5" x14ac:dyDescent="0.2">
      <c r="A22" s="579" t="s">
        <v>337</v>
      </c>
      <c r="B22" s="605" t="s">
        <v>315</v>
      </c>
      <c r="C22" s="384" t="s">
        <v>338</v>
      </c>
      <c r="D22" s="616" t="s">
        <v>339</v>
      </c>
      <c r="E22" s="450" t="s">
        <v>318</v>
      </c>
      <c r="F22" s="451">
        <v>704.67</v>
      </c>
      <c r="G22" s="393">
        <v>8.59</v>
      </c>
      <c r="H22" s="382">
        <f t="shared" si="1"/>
        <v>10.731487</v>
      </c>
      <c r="I22" s="383">
        <f t="shared" si="0"/>
        <v>7562.16</v>
      </c>
    </row>
    <row r="23" spans="1:13" x14ac:dyDescent="0.2">
      <c r="A23" s="385"/>
      <c r="B23" s="605"/>
      <c r="C23" s="384"/>
      <c r="D23" s="616"/>
      <c r="E23" s="450"/>
      <c r="F23" s="451"/>
      <c r="G23" s="393"/>
      <c r="H23" s="382"/>
      <c r="I23" s="383"/>
    </row>
    <row r="24" spans="1:13" x14ac:dyDescent="0.25">
      <c r="A24" s="577" t="s">
        <v>340</v>
      </c>
      <c r="B24" s="604"/>
      <c r="C24" s="588"/>
      <c r="D24" s="446" t="s">
        <v>341</v>
      </c>
      <c r="E24" s="447"/>
      <c r="F24" s="448"/>
      <c r="G24" s="448"/>
      <c r="H24" s="448"/>
      <c r="I24" s="449">
        <f>SUM(I25:I36)</f>
        <v>4259462.8499999996</v>
      </c>
      <c r="K24" s="639"/>
      <c r="M24" s="381"/>
    </row>
    <row r="25" spans="1:13" x14ac:dyDescent="0.25">
      <c r="A25" s="579" t="s">
        <v>369</v>
      </c>
      <c r="B25" s="619" t="s">
        <v>325</v>
      </c>
      <c r="C25" s="620" t="s">
        <v>3450</v>
      </c>
      <c r="D25" s="714" t="s">
        <v>3449</v>
      </c>
      <c r="E25" s="571" t="s">
        <v>344</v>
      </c>
      <c r="F25" s="622">
        <v>24</v>
      </c>
      <c r="G25" s="623">
        <f>'Adm Local Obra'!H25</f>
        <v>101556.57899999998</v>
      </c>
      <c r="H25" s="382">
        <f t="shared" ref="H25" si="2">G25+(G25*$H$14)</f>
        <v>126874.63414469999</v>
      </c>
      <c r="I25" s="383">
        <f t="shared" ref="I25" si="3">ROUND(H25*F25,2)</f>
        <v>3044991.22</v>
      </c>
      <c r="K25" s="713"/>
      <c r="L25" s="371"/>
    </row>
    <row r="26" spans="1:13" x14ac:dyDescent="0.25">
      <c r="A26" s="579"/>
      <c r="B26" s="619"/>
      <c r="C26" s="620"/>
      <c r="D26" s="715" t="s">
        <v>372</v>
      </c>
      <c r="E26" s="386"/>
      <c r="F26" s="622"/>
      <c r="G26" s="623"/>
      <c r="H26" s="382"/>
      <c r="I26" s="383"/>
      <c r="L26" s="371"/>
    </row>
    <row r="27" spans="1:13" x14ac:dyDescent="0.25">
      <c r="A27" s="579" t="s">
        <v>369</v>
      </c>
      <c r="B27" s="619" t="s">
        <v>315</v>
      </c>
      <c r="C27" s="620">
        <v>72817</v>
      </c>
      <c r="D27" s="621" t="s">
        <v>373</v>
      </c>
      <c r="E27" s="386" t="s">
        <v>374</v>
      </c>
      <c r="F27" s="622">
        <v>565</v>
      </c>
      <c r="G27" s="623">
        <v>243.51</v>
      </c>
      <c r="H27" s="382">
        <f>G27+(G27*$H$14)</f>
        <v>304.21704299999999</v>
      </c>
      <c r="I27" s="383">
        <f>ROUND(H27*F27,2)</f>
        <v>171882.63</v>
      </c>
    </row>
    <row r="28" spans="1:13" x14ac:dyDescent="0.25">
      <c r="A28" s="579" t="s">
        <v>375</v>
      </c>
      <c r="B28" s="619" t="s">
        <v>315</v>
      </c>
      <c r="C28" s="620" t="s">
        <v>376</v>
      </c>
      <c r="D28" s="621" t="s">
        <v>377</v>
      </c>
      <c r="E28" s="386" t="s">
        <v>378</v>
      </c>
      <c r="F28" s="622">
        <v>6624.78</v>
      </c>
      <c r="G28" s="623">
        <v>19.39</v>
      </c>
      <c r="H28" s="382">
        <f>G28+(G28*$H$14)</f>
        <v>24.223927</v>
      </c>
      <c r="I28" s="383">
        <f>ROUND(H28*F28,2)</f>
        <v>160478.19</v>
      </c>
    </row>
    <row r="29" spans="1:13" x14ac:dyDescent="0.25">
      <c r="A29" s="579" t="s">
        <v>379</v>
      </c>
      <c r="B29" s="619" t="s">
        <v>315</v>
      </c>
      <c r="C29" s="620">
        <v>72554</v>
      </c>
      <c r="D29" s="621" t="s">
        <v>380</v>
      </c>
      <c r="E29" s="386" t="s">
        <v>323</v>
      </c>
      <c r="F29" s="622">
        <v>6</v>
      </c>
      <c r="G29" s="623">
        <v>548.25</v>
      </c>
      <c r="H29" s="382">
        <f>G29+(G29*$H$14)</f>
        <v>684.92872499999999</v>
      </c>
      <c r="I29" s="383">
        <f>ROUND(H29*F29,2)</f>
        <v>4109.57</v>
      </c>
    </row>
    <row r="30" spans="1:13" x14ac:dyDescent="0.25">
      <c r="A30" s="579" t="s">
        <v>381</v>
      </c>
      <c r="B30" s="619" t="s">
        <v>315</v>
      </c>
      <c r="C30" s="620" t="s">
        <v>382</v>
      </c>
      <c r="D30" s="621" t="s">
        <v>383</v>
      </c>
      <c r="E30" s="386" t="s">
        <v>323</v>
      </c>
      <c r="F30" s="622">
        <v>3</v>
      </c>
      <c r="G30" s="623">
        <v>165.71</v>
      </c>
      <c r="H30" s="382">
        <f>G30+(G30*$H$14)</f>
        <v>207.021503</v>
      </c>
      <c r="I30" s="383">
        <f>ROUND(H30*F30,2)</f>
        <v>621.05999999999995</v>
      </c>
    </row>
    <row r="31" spans="1:13" x14ac:dyDescent="0.25">
      <c r="A31" s="579" t="s">
        <v>384</v>
      </c>
      <c r="B31" s="619" t="s">
        <v>315</v>
      </c>
      <c r="C31" s="620" t="s">
        <v>385</v>
      </c>
      <c r="D31" s="621" t="s">
        <v>386</v>
      </c>
      <c r="E31" s="386" t="s">
        <v>323</v>
      </c>
      <c r="F31" s="622">
        <v>3</v>
      </c>
      <c r="G31" s="623">
        <v>170.9</v>
      </c>
      <c r="H31" s="382">
        <f>G31+(G31*$H$14)</f>
        <v>213.50537</v>
      </c>
      <c r="I31" s="383">
        <f>ROUND(H31*F31,2)</f>
        <v>640.52</v>
      </c>
    </row>
    <row r="32" spans="1:13" x14ac:dyDescent="0.25">
      <c r="A32" s="579"/>
      <c r="B32" s="619"/>
      <c r="C32" s="620"/>
      <c r="D32" s="445" t="s">
        <v>387</v>
      </c>
      <c r="E32" s="386"/>
      <c r="F32" s="622"/>
      <c r="G32" s="623"/>
      <c r="H32" s="382"/>
      <c r="I32" s="383"/>
    </row>
    <row r="33" spans="1:9" x14ac:dyDescent="0.25">
      <c r="A33" s="579" t="s">
        <v>388</v>
      </c>
      <c r="B33" s="619" t="s">
        <v>315</v>
      </c>
      <c r="C33" s="620">
        <v>73618</v>
      </c>
      <c r="D33" s="621" t="s">
        <v>389</v>
      </c>
      <c r="E33" s="386" t="s">
        <v>390</v>
      </c>
      <c r="F33" s="622">
        <v>6624.78</v>
      </c>
      <c r="G33" s="623">
        <v>4.63</v>
      </c>
      <c r="H33" s="382">
        <f>G33+(G33*$H$14)</f>
        <v>5.7842589999999996</v>
      </c>
      <c r="I33" s="383">
        <f>ROUND(H33*F33,2)</f>
        <v>38319.440000000002</v>
      </c>
    </row>
    <row r="34" spans="1:9" ht="42.75" x14ac:dyDescent="0.25">
      <c r="A34" s="579" t="s">
        <v>391</v>
      </c>
      <c r="B34" s="619" t="s">
        <v>315</v>
      </c>
      <c r="C34" s="620">
        <v>39814</v>
      </c>
      <c r="D34" s="621" t="s">
        <v>392</v>
      </c>
      <c r="E34" s="386" t="s">
        <v>393</v>
      </c>
      <c r="F34" s="622">
        <f>18*30*24</f>
        <v>12960</v>
      </c>
      <c r="G34" s="623">
        <v>51.43</v>
      </c>
      <c r="H34" s="382">
        <f>G34+(G34*$H$14)</f>
        <v>64.251498999999995</v>
      </c>
      <c r="I34" s="383">
        <f>ROUND(H34*F34,2)</f>
        <v>832699.43</v>
      </c>
    </row>
    <row r="35" spans="1:9" x14ac:dyDescent="0.25">
      <c r="A35" s="579" t="s">
        <v>394</v>
      </c>
      <c r="B35" s="619" t="s">
        <v>315</v>
      </c>
      <c r="C35" s="620">
        <v>90508</v>
      </c>
      <c r="D35" s="621" t="s">
        <v>395</v>
      </c>
      <c r="E35" s="386" t="s">
        <v>393</v>
      </c>
      <c r="F35" s="622">
        <f>6*30*24</f>
        <v>4320</v>
      </c>
      <c r="G35" s="623">
        <v>1.06</v>
      </c>
      <c r="H35" s="382">
        <f>G35+(G35*$H$14)</f>
        <v>1.3242579999999999</v>
      </c>
      <c r="I35" s="383">
        <f>ROUND(H35*F35,2)</f>
        <v>5720.79</v>
      </c>
    </row>
    <row r="36" spans="1:9" x14ac:dyDescent="0.25">
      <c r="A36" s="579"/>
      <c r="B36" s="716"/>
      <c r="C36" s="591"/>
      <c r="D36" s="417"/>
      <c r="E36" s="397"/>
      <c r="F36" s="394"/>
      <c r="G36" s="397"/>
      <c r="H36" s="382"/>
      <c r="I36" s="383"/>
    </row>
    <row r="37" spans="1:9" x14ac:dyDescent="0.25">
      <c r="A37" s="577" t="s">
        <v>400</v>
      </c>
      <c r="B37" s="604"/>
      <c r="C37" s="588"/>
      <c r="D37" s="446" t="s">
        <v>401</v>
      </c>
      <c r="E37" s="447"/>
      <c r="F37" s="448"/>
      <c r="G37" s="448"/>
      <c r="H37" s="448"/>
      <c r="I37" s="449">
        <f>SUM(I38:I59)</f>
        <v>222451</v>
      </c>
    </row>
    <row r="38" spans="1:9" x14ac:dyDescent="0.25">
      <c r="A38" s="580" t="s">
        <v>402</v>
      </c>
      <c r="B38" s="608"/>
      <c r="C38" s="557"/>
      <c r="D38" s="399" t="s">
        <v>403</v>
      </c>
      <c r="E38" s="398"/>
      <c r="F38" s="400"/>
      <c r="G38" s="400"/>
      <c r="H38" s="382"/>
      <c r="I38" s="383"/>
    </row>
    <row r="39" spans="1:9" x14ac:dyDescent="0.25">
      <c r="A39" s="579" t="s">
        <v>404</v>
      </c>
      <c r="B39" s="608" t="s">
        <v>315</v>
      </c>
      <c r="C39" s="557" t="s">
        <v>405</v>
      </c>
      <c r="D39" s="452" t="s">
        <v>406</v>
      </c>
      <c r="E39" s="398" t="s">
        <v>397</v>
      </c>
      <c r="F39" s="400">
        <v>54.02</v>
      </c>
      <c r="G39" s="400">
        <v>46.81</v>
      </c>
      <c r="H39" s="382">
        <f t="shared" si="1"/>
        <v>58.479733000000003</v>
      </c>
      <c r="I39" s="383">
        <f t="shared" ref="I39:I50" si="4">ROUND(H39*F39,2)</f>
        <v>3159.08</v>
      </c>
    </row>
    <row r="40" spans="1:9" x14ac:dyDescent="0.25">
      <c r="A40" s="579" t="s">
        <v>407</v>
      </c>
      <c r="B40" s="608" t="s">
        <v>315</v>
      </c>
      <c r="C40" s="557">
        <v>94971</v>
      </c>
      <c r="D40" s="452" t="s">
        <v>408</v>
      </c>
      <c r="E40" s="398" t="s">
        <v>397</v>
      </c>
      <c r="F40" s="400">
        <v>39.5</v>
      </c>
      <c r="G40" s="400">
        <v>321.93</v>
      </c>
      <c r="H40" s="382">
        <f t="shared" si="1"/>
        <v>402.18714899999998</v>
      </c>
      <c r="I40" s="383">
        <f t="shared" si="4"/>
        <v>15886.39</v>
      </c>
    </row>
    <row r="41" spans="1:9" x14ac:dyDescent="0.25">
      <c r="A41" s="579" t="s">
        <v>409</v>
      </c>
      <c r="B41" s="608" t="s">
        <v>315</v>
      </c>
      <c r="C41" s="557" t="s">
        <v>3531</v>
      </c>
      <c r="D41" s="452" t="s">
        <v>3532</v>
      </c>
      <c r="E41" s="398" t="s">
        <v>378</v>
      </c>
      <c r="F41" s="400">
        <v>440.91</v>
      </c>
      <c r="G41" s="400">
        <v>22.36</v>
      </c>
      <c r="H41" s="382">
        <f t="shared" ref="H41" si="5">G41+(G41*$H$14)</f>
        <v>27.934348</v>
      </c>
      <c r="I41" s="383">
        <f t="shared" ref="I41" si="6">ROUND(H41*F41,2)</f>
        <v>12316.53</v>
      </c>
    </row>
    <row r="42" spans="1:9" x14ac:dyDescent="0.25">
      <c r="A42" s="579" t="s">
        <v>412</v>
      </c>
      <c r="B42" s="608" t="s">
        <v>315</v>
      </c>
      <c r="C42" s="557" t="s">
        <v>410</v>
      </c>
      <c r="D42" s="452" t="s">
        <v>411</v>
      </c>
      <c r="E42" s="398" t="s">
        <v>397</v>
      </c>
      <c r="F42" s="400">
        <v>39.5</v>
      </c>
      <c r="G42" s="400">
        <v>123.21</v>
      </c>
      <c r="H42" s="382">
        <f t="shared" si="1"/>
        <v>153.926253</v>
      </c>
      <c r="I42" s="383">
        <f t="shared" si="4"/>
        <v>6080.09</v>
      </c>
    </row>
    <row r="43" spans="1:9" ht="28.5" x14ac:dyDescent="0.25">
      <c r="A43" s="579" t="s">
        <v>415</v>
      </c>
      <c r="B43" s="608" t="s">
        <v>315</v>
      </c>
      <c r="C43" s="557" t="s">
        <v>413</v>
      </c>
      <c r="D43" s="452" t="s">
        <v>414</v>
      </c>
      <c r="E43" s="398" t="s">
        <v>397</v>
      </c>
      <c r="F43" s="400">
        <v>4.6100000000000003</v>
      </c>
      <c r="G43" s="400">
        <v>80.680000000000007</v>
      </c>
      <c r="H43" s="382">
        <f t="shared" si="1"/>
        <v>100.79352400000001</v>
      </c>
      <c r="I43" s="383">
        <f t="shared" si="4"/>
        <v>464.66</v>
      </c>
    </row>
    <row r="44" spans="1:9" x14ac:dyDescent="0.25">
      <c r="A44" s="579" t="s">
        <v>417</v>
      </c>
      <c r="B44" s="608" t="s">
        <v>315</v>
      </c>
      <c r="C44" s="557">
        <v>83534</v>
      </c>
      <c r="D44" s="452" t="s">
        <v>416</v>
      </c>
      <c r="E44" s="398" t="s">
        <v>397</v>
      </c>
      <c r="F44" s="400">
        <v>4.6100000000000003</v>
      </c>
      <c r="G44" s="400">
        <v>442.58</v>
      </c>
      <c r="H44" s="382">
        <f t="shared" si="1"/>
        <v>552.91519399999993</v>
      </c>
      <c r="I44" s="383">
        <f t="shared" si="4"/>
        <v>2548.94</v>
      </c>
    </row>
    <row r="45" spans="1:9" ht="42.75" x14ac:dyDescent="0.25">
      <c r="A45" s="579" t="s">
        <v>421</v>
      </c>
      <c r="B45" s="608" t="s">
        <v>315</v>
      </c>
      <c r="C45" s="557" t="s">
        <v>418</v>
      </c>
      <c r="D45" s="452" t="s">
        <v>419</v>
      </c>
      <c r="E45" s="398" t="s">
        <v>420</v>
      </c>
      <c r="F45" s="400">
        <v>193.6</v>
      </c>
      <c r="G45" s="400">
        <v>9.8800000000000008</v>
      </c>
      <c r="H45" s="382">
        <f t="shared" si="1"/>
        <v>12.343084000000001</v>
      </c>
      <c r="I45" s="383">
        <f t="shared" si="4"/>
        <v>2389.62</v>
      </c>
    </row>
    <row r="46" spans="1:9" ht="42.75" x14ac:dyDescent="0.25">
      <c r="A46" s="579" t="s">
        <v>424</v>
      </c>
      <c r="B46" s="608" t="s">
        <v>315</v>
      </c>
      <c r="C46" s="557" t="s">
        <v>422</v>
      </c>
      <c r="D46" s="452" t="s">
        <v>423</v>
      </c>
      <c r="E46" s="398" t="s">
        <v>420</v>
      </c>
      <c r="F46" s="400">
        <v>20.9</v>
      </c>
      <c r="G46" s="400">
        <v>8.98</v>
      </c>
      <c r="H46" s="382">
        <f t="shared" si="1"/>
        <v>11.218714</v>
      </c>
      <c r="I46" s="383">
        <f t="shared" si="4"/>
        <v>234.47</v>
      </c>
    </row>
    <row r="47" spans="1:9" ht="42.75" x14ac:dyDescent="0.25">
      <c r="A47" s="579" t="s">
        <v>427</v>
      </c>
      <c r="B47" s="608" t="s">
        <v>315</v>
      </c>
      <c r="C47" s="557" t="s">
        <v>425</v>
      </c>
      <c r="D47" s="452" t="s">
        <v>426</v>
      </c>
      <c r="E47" s="398" t="s">
        <v>420</v>
      </c>
      <c r="F47" s="400">
        <v>33</v>
      </c>
      <c r="G47" s="400">
        <v>8.5</v>
      </c>
      <c r="H47" s="382">
        <f t="shared" si="1"/>
        <v>10.61905</v>
      </c>
      <c r="I47" s="383">
        <f t="shared" si="4"/>
        <v>350.43</v>
      </c>
    </row>
    <row r="48" spans="1:9" ht="42.75" x14ac:dyDescent="0.25">
      <c r="A48" s="579" t="s">
        <v>430</v>
      </c>
      <c r="B48" s="608" t="s">
        <v>315</v>
      </c>
      <c r="C48" s="557" t="s">
        <v>428</v>
      </c>
      <c r="D48" s="452" t="s">
        <v>429</v>
      </c>
      <c r="E48" s="398" t="s">
        <v>420</v>
      </c>
      <c r="F48" s="400">
        <v>881.1</v>
      </c>
      <c r="G48" s="400">
        <v>6.89</v>
      </c>
      <c r="H48" s="382">
        <f t="shared" si="1"/>
        <v>8.6076769999999989</v>
      </c>
      <c r="I48" s="383">
        <f t="shared" si="4"/>
        <v>7584.22</v>
      </c>
    </row>
    <row r="49" spans="1:9" ht="42.75" x14ac:dyDescent="0.25">
      <c r="A49" s="579" t="s">
        <v>433</v>
      </c>
      <c r="B49" s="608" t="s">
        <v>315</v>
      </c>
      <c r="C49" s="557" t="s">
        <v>431</v>
      </c>
      <c r="D49" s="452" t="s">
        <v>432</v>
      </c>
      <c r="E49" s="398" t="s">
        <v>420</v>
      </c>
      <c r="F49" s="400">
        <v>498.3</v>
      </c>
      <c r="G49" s="400">
        <v>5.68</v>
      </c>
      <c r="H49" s="382">
        <f t="shared" si="1"/>
        <v>7.0960239999999999</v>
      </c>
      <c r="I49" s="383">
        <f t="shared" si="4"/>
        <v>3535.95</v>
      </c>
    </row>
    <row r="50" spans="1:9" ht="42.75" x14ac:dyDescent="0.25">
      <c r="A50" s="579" t="s">
        <v>3533</v>
      </c>
      <c r="B50" s="608" t="s">
        <v>315</v>
      </c>
      <c r="C50" s="557" t="s">
        <v>434</v>
      </c>
      <c r="D50" s="452" t="s">
        <v>435</v>
      </c>
      <c r="E50" s="398" t="s">
        <v>420</v>
      </c>
      <c r="F50" s="400">
        <v>125.4</v>
      </c>
      <c r="G50" s="400">
        <v>4.42</v>
      </c>
      <c r="H50" s="382">
        <f t="shared" si="1"/>
        <v>5.5219059999999995</v>
      </c>
      <c r="I50" s="383">
        <f t="shared" si="4"/>
        <v>692.45</v>
      </c>
    </row>
    <row r="51" spans="1:9" x14ac:dyDescent="0.25">
      <c r="A51" s="580" t="s">
        <v>436</v>
      </c>
      <c r="B51" s="607"/>
      <c r="C51" s="592"/>
      <c r="D51" s="453" t="s">
        <v>437</v>
      </c>
      <c r="E51" s="401"/>
      <c r="F51" s="401"/>
      <c r="G51" s="401"/>
      <c r="H51" s="382"/>
      <c r="I51" s="383"/>
    </row>
    <row r="52" spans="1:9" x14ac:dyDescent="0.25">
      <c r="A52" s="579" t="s">
        <v>438</v>
      </c>
      <c r="B52" s="608" t="s">
        <v>315</v>
      </c>
      <c r="C52" s="557" t="s">
        <v>405</v>
      </c>
      <c r="D52" s="452" t="s">
        <v>406</v>
      </c>
      <c r="E52" s="398" t="s">
        <v>397</v>
      </c>
      <c r="F52" s="400">
        <v>352.83</v>
      </c>
      <c r="G52" s="400">
        <v>46.81</v>
      </c>
      <c r="H52" s="382">
        <f t="shared" si="1"/>
        <v>58.479733000000003</v>
      </c>
      <c r="I52" s="383">
        <f t="shared" ref="I52:I58" si="7">ROUND(H52*F52,2)</f>
        <v>20633.400000000001</v>
      </c>
    </row>
    <row r="53" spans="1:9" x14ac:dyDescent="0.25">
      <c r="A53" s="579" t="s">
        <v>439</v>
      </c>
      <c r="B53" s="608" t="s">
        <v>315</v>
      </c>
      <c r="C53" s="557">
        <v>94971</v>
      </c>
      <c r="D53" s="452" t="s">
        <v>408</v>
      </c>
      <c r="E53" s="398" t="s">
        <v>397</v>
      </c>
      <c r="F53" s="400">
        <v>99.23</v>
      </c>
      <c r="G53" s="400">
        <v>321.93</v>
      </c>
      <c r="H53" s="382">
        <f t="shared" si="1"/>
        <v>402.18714899999998</v>
      </c>
      <c r="I53" s="383">
        <f t="shared" si="7"/>
        <v>39909.03</v>
      </c>
    </row>
    <row r="54" spans="1:9" x14ac:dyDescent="0.25">
      <c r="A54" s="579" t="s">
        <v>440</v>
      </c>
      <c r="B54" s="608" t="s">
        <v>315</v>
      </c>
      <c r="C54" s="557" t="s">
        <v>410</v>
      </c>
      <c r="D54" s="452" t="s">
        <v>411</v>
      </c>
      <c r="E54" s="398" t="s">
        <v>397</v>
      </c>
      <c r="F54" s="400">
        <v>99.23</v>
      </c>
      <c r="G54" s="400">
        <v>123.21</v>
      </c>
      <c r="H54" s="382">
        <f t="shared" si="1"/>
        <v>153.926253</v>
      </c>
      <c r="I54" s="383">
        <f t="shared" si="7"/>
        <v>15274.1</v>
      </c>
    </row>
    <row r="55" spans="1:9" ht="42.75" x14ac:dyDescent="0.25">
      <c r="A55" s="579" t="s">
        <v>441</v>
      </c>
      <c r="B55" s="608" t="s">
        <v>315</v>
      </c>
      <c r="C55" s="557" t="s">
        <v>418</v>
      </c>
      <c r="D55" s="452" t="s">
        <v>419</v>
      </c>
      <c r="E55" s="398" t="s">
        <v>420</v>
      </c>
      <c r="F55" s="400">
        <v>1273.45</v>
      </c>
      <c r="G55" s="400">
        <v>9.8800000000000008</v>
      </c>
      <c r="H55" s="382">
        <f t="shared" si="1"/>
        <v>12.343084000000001</v>
      </c>
      <c r="I55" s="383">
        <f t="shared" si="7"/>
        <v>15718.3</v>
      </c>
    </row>
    <row r="56" spans="1:9" ht="42.75" x14ac:dyDescent="0.25">
      <c r="A56" s="579" t="s">
        <v>442</v>
      </c>
      <c r="B56" s="608" t="s">
        <v>315</v>
      </c>
      <c r="C56" s="557" t="s">
        <v>428</v>
      </c>
      <c r="D56" s="452" t="s">
        <v>429</v>
      </c>
      <c r="E56" s="398" t="s">
        <v>420</v>
      </c>
      <c r="F56" s="400">
        <v>5442.21</v>
      </c>
      <c r="G56" s="400">
        <v>6.89</v>
      </c>
      <c r="H56" s="382">
        <f t="shared" si="1"/>
        <v>8.6076769999999989</v>
      </c>
      <c r="I56" s="383">
        <f t="shared" si="7"/>
        <v>46844.79</v>
      </c>
    </row>
    <row r="57" spans="1:9" ht="28.5" x14ac:dyDescent="0.25">
      <c r="A57" s="579" t="s">
        <v>443</v>
      </c>
      <c r="B57" s="608" t="s">
        <v>315</v>
      </c>
      <c r="C57" s="557" t="s">
        <v>413</v>
      </c>
      <c r="D57" s="452" t="s">
        <v>414</v>
      </c>
      <c r="E57" s="398" t="s">
        <v>397</v>
      </c>
      <c r="F57" s="400">
        <v>44.1</v>
      </c>
      <c r="G57" s="400">
        <v>80.680000000000007</v>
      </c>
      <c r="H57" s="382">
        <f t="shared" si="1"/>
        <v>100.79352400000001</v>
      </c>
      <c r="I57" s="383">
        <f t="shared" si="7"/>
        <v>4444.99</v>
      </c>
    </row>
    <row r="58" spans="1:9" x14ac:dyDescent="0.25">
      <c r="A58" s="579" t="s">
        <v>444</v>
      </c>
      <c r="B58" s="608" t="s">
        <v>315</v>
      </c>
      <c r="C58" s="557">
        <v>83534</v>
      </c>
      <c r="D58" s="452" t="s">
        <v>416</v>
      </c>
      <c r="E58" s="398" t="s">
        <v>397</v>
      </c>
      <c r="F58" s="400">
        <v>44.1</v>
      </c>
      <c r="G58" s="400">
        <v>442.58</v>
      </c>
      <c r="H58" s="382">
        <f t="shared" si="1"/>
        <v>552.91519399999993</v>
      </c>
      <c r="I58" s="383">
        <f t="shared" si="7"/>
        <v>24383.56</v>
      </c>
    </row>
    <row r="59" spans="1:9" x14ac:dyDescent="0.25">
      <c r="A59" s="580"/>
      <c r="B59" s="608"/>
      <c r="C59" s="557"/>
      <c r="D59" s="402"/>
      <c r="E59" s="398"/>
      <c r="F59" s="400"/>
      <c r="G59" s="400"/>
      <c r="H59" s="382"/>
      <c r="I59" s="383"/>
    </row>
    <row r="60" spans="1:9" x14ac:dyDescent="0.25">
      <c r="A60" s="577" t="s">
        <v>445</v>
      </c>
      <c r="B60" s="604"/>
      <c r="C60" s="588"/>
      <c r="D60" s="446" t="s">
        <v>446</v>
      </c>
      <c r="E60" s="447"/>
      <c r="F60" s="448"/>
      <c r="G60" s="448"/>
      <c r="H60" s="448"/>
      <c r="I60" s="449">
        <f>SUM(I61:I137)</f>
        <v>5947922.9600000009</v>
      </c>
    </row>
    <row r="61" spans="1:9" x14ac:dyDescent="0.25">
      <c r="A61" s="580" t="s">
        <v>447</v>
      </c>
      <c r="B61" s="607"/>
      <c r="C61" s="592"/>
      <c r="D61" s="453" t="s">
        <v>448</v>
      </c>
      <c r="E61" s="401"/>
      <c r="F61" s="403"/>
      <c r="G61" s="403"/>
      <c r="H61" s="382"/>
      <c r="I61" s="397"/>
    </row>
    <row r="62" spans="1:9" x14ac:dyDescent="0.25">
      <c r="A62" s="579" t="s">
        <v>449</v>
      </c>
      <c r="B62" s="608" t="s">
        <v>315</v>
      </c>
      <c r="C62" s="557">
        <v>94964</v>
      </c>
      <c r="D62" s="452" t="s">
        <v>450</v>
      </c>
      <c r="E62" s="398" t="s">
        <v>397</v>
      </c>
      <c r="F62" s="400">
        <f>[1]Plan1!J22</f>
        <v>43.14</v>
      </c>
      <c r="G62" s="400">
        <v>312.77999999999997</v>
      </c>
      <c r="H62" s="382">
        <f t="shared" si="1"/>
        <v>390.75605399999995</v>
      </c>
      <c r="I62" s="383">
        <f>ROUND(H62*F62,2)</f>
        <v>16857.22</v>
      </c>
    </row>
    <row r="63" spans="1:9" x14ac:dyDescent="0.25">
      <c r="A63" s="579" t="s">
        <v>451</v>
      </c>
      <c r="B63" s="624" t="s">
        <v>601</v>
      </c>
      <c r="C63" s="557" t="s">
        <v>3535</v>
      </c>
      <c r="D63" s="452" t="s">
        <v>3534</v>
      </c>
      <c r="E63" s="398" t="s">
        <v>378</v>
      </c>
      <c r="F63" s="400">
        <f>F62*12</f>
        <v>517.68000000000006</v>
      </c>
      <c r="G63" s="400">
        <v>87.59</v>
      </c>
      <c r="H63" s="382">
        <f t="shared" ref="H63" si="8">G63+(G63*$H$14)</f>
        <v>109.426187</v>
      </c>
      <c r="I63" s="383">
        <f>ROUND(H63*F63,2)</f>
        <v>56647.75</v>
      </c>
    </row>
    <row r="64" spans="1:9" x14ac:dyDescent="0.25">
      <c r="A64" s="579" t="s">
        <v>3540</v>
      </c>
      <c r="B64" s="624" t="s">
        <v>315</v>
      </c>
      <c r="C64" s="557" t="s">
        <v>410</v>
      </c>
      <c r="D64" s="452" t="s">
        <v>411</v>
      </c>
      <c r="E64" s="398" t="s">
        <v>397</v>
      </c>
      <c r="F64" s="400">
        <f>[1]Plan1!J23</f>
        <v>43.14</v>
      </c>
      <c r="G64" s="400">
        <v>123.21</v>
      </c>
      <c r="H64" s="382">
        <f t="shared" si="1"/>
        <v>153.926253</v>
      </c>
      <c r="I64" s="383">
        <f>ROUND(H64*F64,2)</f>
        <v>6640.38</v>
      </c>
    </row>
    <row r="65" spans="1:10" x14ac:dyDescent="0.25">
      <c r="A65" s="580" t="s">
        <v>452</v>
      </c>
      <c r="B65" s="716"/>
      <c r="C65" s="592"/>
      <c r="D65" s="453" t="s">
        <v>453</v>
      </c>
      <c r="E65" s="401"/>
      <c r="F65" s="400">
        <f>[1]Plan1!J24</f>
        <v>0</v>
      </c>
      <c r="G65" s="403"/>
      <c r="H65" s="382"/>
      <c r="I65" s="397"/>
    </row>
    <row r="66" spans="1:10" x14ac:dyDescent="0.25">
      <c r="A66" s="579" t="s">
        <v>454</v>
      </c>
      <c r="B66" s="624" t="s">
        <v>315</v>
      </c>
      <c r="C66" s="557">
        <v>94964</v>
      </c>
      <c r="D66" s="452" t="s">
        <v>450</v>
      </c>
      <c r="E66" s="398" t="s">
        <v>397</v>
      </c>
      <c r="F66" s="400">
        <f>[1]Plan1!J25</f>
        <v>26.98</v>
      </c>
      <c r="G66" s="400">
        <v>312.77999999999997</v>
      </c>
      <c r="H66" s="382">
        <f t="shared" si="1"/>
        <v>390.75605399999995</v>
      </c>
      <c r="I66" s="383">
        <f>ROUND(H66*F66,2)</f>
        <v>10542.6</v>
      </c>
    </row>
    <row r="67" spans="1:10" x14ac:dyDescent="0.25">
      <c r="A67" s="579" t="s">
        <v>455</v>
      </c>
      <c r="B67" s="624" t="s">
        <v>601</v>
      </c>
      <c r="C67" s="557" t="s">
        <v>3535</v>
      </c>
      <c r="D67" s="452" t="s">
        <v>3534</v>
      </c>
      <c r="E67" s="398" t="s">
        <v>378</v>
      </c>
      <c r="F67" s="400">
        <f>F66*12</f>
        <v>323.76</v>
      </c>
      <c r="G67" s="400">
        <v>87.59</v>
      </c>
      <c r="H67" s="382">
        <f t="shared" si="1"/>
        <v>109.426187</v>
      </c>
      <c r="I67" s="383">
        <f>ROUND(H67*F67,2)</f>
        <v>35427.82</v>
      </c>
    </row>
    <row r="68" spans="1:10" x14ac:dyDescent="0.25">
      <c r="A68" s="579" t="s">
        <v>3539</v>
      </c>
      <c r="B68" s="624" t="s">
        <v>315</v>
      </c>
      <c r="C68" s="557" t="s">
        <v>410</v>
      </c>
      <c r="D68" s="452" t="s">
        <v>411</v>
      </c>
      <c r="E68" s="398" t="s">
        <v>397</v>
      </c>
      <c r="F68" s="400">
        <f>[1]Plan1!J26</f>
        <v>26.98</v>
      </c>
      <c r="G68" s="400">
        <v>123.21</v>
      </c>
      <c r="H68" s="382">
        <f t="shared" si="1"/>
        <v>153.926253</v>
      </c>
      <c r="I68" s="383">
        <f>ROUND(H68*F68,2)</f>
        <v>4152.93</v>
      </c>
    </row>
    <row r="69" spans="1:10" x14ac:dyDescent="0.25">
      <c r="A69" s="580" t="s">
        <v>456</v>
      </c>
      <c r="B69" s="716"/>
      <c r="C69" s="592"/>
      <c r="D69" s="453" t="s">
        <v>457</v>
      </c>
      <c r="E69" s="401"/>
      <c r="F69" s="400">
        <f>[1]Plan1!J27</f>
        <v>0</v>
      </c>
      <c r="G69" s="403"/>
      <c r="H69" s="382"/>
      <c r="I69" s="397"/>
    </row>
    <row r="70" spans="1:10" x14ac:dyDescent="0.25">
      <c r="A70" s="579" t="s">
        <v>458</v>
      </c>
      <c r="B70" s="624" t="s">
        <v>315</v>
      </c>
      <c r="C70" s="557">
        <v>94964</v>
      </c>
      <c r="D70" s="452" t="s">
        <v>450</v>
      </c>
      <c r="E70" s="398" t="s">
        <v>397</v>
      </c>
      <c r="F70" s="400">
        <f>[1]Plan1!J28</f>
        <v>51.66</v>
      </c>
      <c r="G70" s="400">
        <v>312.77999999999997</v>
      </c>
      <c r="H70" s="382">
        <f t="shared" si="1"/>
        <v>390.75605399999995</v>
      </c>
      <c r="I70" s="383">
        <f>ROUND(H70*F70,2)</f>
        <v>20186.46</v>
      </c>
    </row>
    <row r="71" spans="1:10" x14ac:dyDescent="0.25">
      <c r="A71" s="579" t="s">
        <v>459</v>
      </c>
      <c r="B71" s="624" t="s">
        <v>601</v>
      </c>
      <c r="C71" s="557" t="s">
        <v>3535</v>
      </c>
      <c r="D71" s="452" t="s">
        <v>3534</v>
      </c>
      <c r="E71" s="398" t="s">
        <v>378</v>
      </c>
      <c r="F71" s="400">
        <f>F70*12</f>
        <v>619.91999999999996</v>
      </c>
      <c r="G71" s="400">
        <v>87.59</v>
      </c>
      <c r="H71" s="382">
        <f t="shared" si="1"/>
        <v>109.426187</v>
      </c>
      <c r="I71" s="383">
        <f>ROUND(H71*F71,2)</f>
        <v>67835.48</v>
      </c>
    </row>
    <row r="72" spans="1:10" x14ac:dyDescent="0.25">
      <c r="A72" s="579" t="s">
        <v>3538</v>
      </c>
      <c r="B72" s="624" t="s">
        <v>315</v>
      </c>
      <c r="C72" s="557" t="s">
        <v>410</v>
      </c>
      <c r="D72" s="452" t="s">
        <v>411</v>
      </c>
      <c r="E72" s="398" t="s">
        <v>397</v>
      </c>
      <c r="F72" s="400">
        <f>[1]Plan1!J29</f>
        <v>51.66</v>
      </c>
      <c r="G72" s="400">
        <v>123.21</v>
      </c>
      <c r="H72" s="382">
        <f t="shared" si="1"/>
        <v>153.926253</v>
      </c>
      <c r="I72" s="383">
        <f>ROUND(H72*F72,2)</f>
        <v>7951.83</v>
      </c>
    </row>
    <row r="73" spans="1:10" x14ac:dyDescent="0.25">
      <c r="A73" s="580" t="s">
        <v>460</v>
      </c>
      <c r="B73" s="716"/>
      <c r="C73" s="592"/>
      <c r="D73" s="453" t="s">
        <v>461</v>
      </c>
      <c r="E73" s="401"/>
      <c r="F73" s="400"/>
      <c r="G73" s="403"/>
      <c r="H73" s="382"/>
      <c r="I73" s="397"/>
    </row>
    <row r="74" spans="1:10" x14ac:dyDescent="0.25">
      <c r="A74" s="579" t="s">
        <v>462</v>
      </c>
      <c r="B74" s="624" t="s">
        <v>315</v>
      </c>
      <c r="C74" s="557" t="s">
        <v>463</v>
      </c>
      <c r="D74" s="452" t="s">
        <v>464</v>
      </c>
      <c r="E74" s="398" t="s">
        <v>420</v>
      </c>
      <c r="F74" s="400">
        <f>[1]Plan1!J31</f>
        <v>1464.1</v>
      </c>
      <c r="G74" s="400">
        <v>5.17</v>
      </c>
      <c r="H74" s="382">
        <f t="shared" si="1"/>
        <v>6.4588809999999999</v>
      </c>
      <c r="I74" s="383">
        <f>ROUND(H74*F74,2)</f>
        <v>9456.4500000000007</v>
      </c>
    </row>
    <row r="75" spans="1:10" ht="28.5" x14ac:dyDescent="0.25">
      <c r="A75" s="579" t="s">
        <v>465</v>
      </c>
      <c r="B75" s="624" t="s">
        <v>315</v>
      </c>
      <c r="C75" s="557">
        <v>92759</v>
      </c>
      <c r="D75" s="452" t="s">
        <v>3472</v>
      </c>
      <c r="E75" s="398" t="s">
        <v>420</v>
      </c>
      <c r="F75" s="400">
        <f>[1]Plan1!J32</f>
        <v>490.6</v>
      </c>
      <c r="G75" s="400">
        <v>9.09</v>
      </c>
      <c r="H75" s="382">
        <f t="shared" si="1"/>
        <v>11.356137</v>
      </c>
      <c r="I75" s="383">
        <f>ROUND(H75*F75,2)</f>
        <v>5571.32</v>
      </c>
      <c r="J75" s="692"/>
    </row>
    <row r="76" spans="1:10" ht="28.5" x14ac:dyDescent="0.25">
      <c r="A76" s="579" t="s">
        <v>466</v>
      </c>
      <c r="B76" s="624" t="s">
        <v>315</v>
      </c>
      <c r="C76" s="557">
        <v>92760</v>
      </c>
      <c r="D76" s="452" t="s">
        <v>3473</v>
      </c>
      <c r="E76" s="398" t="s">
        <v>420</v>
      </c>
      <c r="F76" s="400">
        <f>[1]Plan1!J33</f>
        <v>10969.2</v>
      </c>
      <c r="G76" s="400">
        <v>8.34</v>
      </c>
      <c r="H76" s="382">
        <f t="shared" si="1"/>
        <v>10.419162</v>
      </c>
      <c r="I76" s="383">
        <f>ROUND(H76*F76,2)</f>
        <v>114289.87</v>
      </c>
      <c r="J76" s="692"/>
    </row>
    <row r="77" spans="1:10" ht="28.5" x14ac:dyDescent="0.25">
      <c r="A77" s="579" t="s">
        <v>467</v>
      </c>
      <c r="B77" s="624" t="s">
        <v>315</v>
      </c>
      <c r="C77" s="557">
        <v>92761</v>
      </c>
      <c r="D77" s="452" t="s">
        <v>3474</v>
      </c>
      <c r="E77" s="398" t="s">
        <v>420</v>
      </c>
      <c r="F77" s="400">
        <f>[1]Plan1!J34</f>
        <v>2323.1999999999998</v>
      </c>
      <c r="G77" s="400">
        <v>8.02</v>
      </c>
      <c r="H77" s="382">
        <f t="shared" si="1"/>
        <v>10.019385999999999</v>
      </c>
      <c r="I77" s="383">
        <f>ROUND(H77*F77,2)</f>
        <v>23277.040000000001</v>
      </c>
      <c r="J77" s="692"/>
    </row>
    <row r="78" spans="1:10" x14ac:dyDescent="0.25">
      <c r="A78" s="580" t="s">
        <v>468</v>
      </c>
      <c r="B78" s="716"/>
      <c r="C78" s="592"/>
      <c r="D78" s="453" t="s">
        <v>469</v>
      </c>
      <c r="E78" s="401"/>
      <c r="F78" s="400"/>
      <c r="G78" s="403"/>
      <c r="H78" s="382"/>
      <c r="I78" s="397"/>
    </row>
    <row r="79" spans="1:10" x14ac:dyDescent="0.25">
      <c r="A79" s="579" t="s">
        <v>470</v>
      </c>
      <c r="B79" s="624" t="s">
        <v>315</v>
      </c>
      <c r="C79" s="557" t="s">
        <v>471</v>
      </c>
      <c r="D79" s="452" t="s">
        <v>472</v>
      </c>
      <c r="E79" s="398" t="s">
        <v>473</v>
      </c>
      <c r="F79" s="404">
        <f>[1]Plan1!J15</f>
        <v>124.5</v>
      </c>
      <c r="G79" s="400">
        <v>36.770000000000003</v>
      </c>
      <c r="H79" s="382">
        <f t="shared" si="1"/>
        <v>45.936761000000004</v>
      </c>
      <c r="I79" s="383">
        <f>ROUND(H79*F79,2)</f>
        <v>5719.13</v>
      </c>
    </row>
    <row r="80" spans="1:10" x14ac:dyDescent="0.25">
      <c r="A80" s="579" t="s">
        <v>474</v>
      </c>
      <c r="B80" s="624" t="s">
        <v>315</v>
      </c>
      <c r="C80" s="557" t="s">
        <v>475</v>
      </c>
      <c r="D80" s="452" t="s">
        <v>476</v>
      </c>
      <c r="E80" s="398" t="s">
        <v>473</v>
      </c>
      <c r="F80" s="404">
        <f>[1]Plan1!J16</f>
        <v>308.5</v>
      </c>
      <c r="G80" s="400">
        <v>41.62</v>
      </c>
      <c r="H80" s="382">
        <f t="shared" si="1"/>
        <v>51.995865999999992</v>
      </c>
      <c r="I80" s="383">
        <f>ROUND(H80*F80,2)</f>
        <v>16040.72</v>
      </c>
    </row>
    <row r="81" spans="1:9" x14ac:dyDescent="0.25">
      <c r="A81" s="579" t="s">
        <v>477</v>
      </c>
      <c r="B81" s="624" t="s">
        <v>315</v>
      </c>
      <c r="C81" s="557" t="s">
        <v>478</v>
      </c>
      <c r="D81" s="452" t="s">
        <v>479</v>
      </c>
      <c r="E81" s="398" t="s">
        <v>473</v>
      </c>
      <c r="F81" s="404">
        <f>[1]Plan1!J17</f>
        <v>433</v>
      </c>
      <c r="G81" s="400">
        <v>37.97</v>
      </c>
      <c r="H81" s="382">
        <f t="shared" si="1"/>
        <v>47.435921</v>
      </c>
      <c r="I81" s="383">
        <f>ROUND(H81*F81,2)</f>
        <v>20539.75</v>
      </c>
    </row>
    <row r="82" spans="1:9" x14ac:dyDescent="0.25">
      <c r="A82" s="579" t="s">
        <v>480</v>
      </c>
      <c r="B82" s="624" t="s">
        <v>315</v>
      </c>
      <c r="C82" s="557" t="s">
        <v>481</v>
      </c>
      <c r="D82" s="452" t="s">
        <v>482</v>
      </c>
      <c r="E82" s="398" t="s">
        <v>473</v>
      </c>
      <c r="F82" s="404">
        <f>[1]Plan1!J18</f>
        <v>438.60000000000008</v>
      </c>
      <c r="G82" s="400">
        <v>38.22</v>
      </c>
      <c r="H82" s="382">
        <f t="shared" si="1"/>
        <v>47.748245999999995</v>
      </c>
      <c r="I82" s="383">
        <f>ROUND(H82*F82,2)</f>
        <v>20942.38</v>
      </c>
    </row>
    <row r="83" spans="1:9" x14ac:dyDescent="0.25">
      <c r="A83" s="579" t="s">
        <v>483</v>
      </c>
      <c r="B83" s="624" t="s">
        <v>315</v>
      </c>
      <c r="C83" s="557" t="s">
        <v>484</v>
      </c>
      <c r="D83" s="452" t="s">
        <v>485</v>
      </c>
      <c r="E83" s="398" t="s">
        <v>473</v>
      </c>
      <c r="F83" s="404">
        <f>[1]Plan1!J19</f>
        <v>344.07000000000011</v>
      </c>
      <c r="G83" s="400">
        <v>42.6</v>
      </c>
      <c r="H83" s="382">
        <f t="shared" si="1"/>
        <v>53.220179999999999</v>
      </c>
      <c r="I83" s="383">
        <f>ROUND(H83*F83,2)</f>
        <v>18311.47</v>
      </c>
    </row>
    <row r="84" spans="1:9" x14ac:dyDescent="0.25">
      <c r="A84" s="580" t="s">
        <v>486</v>
      </c>
      <c r="B84" s="716"/>
      <c r="C84" s="592"/>
      <c r="D84" s="453" t="s">
        <v>487</v>
      </c>
      <c r="E84" s="401"/>
      <c r="F84" s="401"/>
      <c r="G84" s="401"/>
      <c r="H84" s="382"/>
      <c r="I84" s="383"/>
    </row>
    <row r="85" spans="1:9" x14ac:dyDescent="0.25">
      <c r="A85" s="579" t="s">
        <v>488</v>
      </c>
      <c r="B85" s="624" t="s">
        <v>315</v>
      </c>
      <c r="C85" s="557">
        <v>94971</v>
      </c>
      <c r="D85" s="452" t="s">
        <v>408</v>
      </c>
      <c r="E85" s="398" t="s">
        <v>397</v>
      </c>
      <c r="F85" s="400">
        <v>1162.6600000000001</v>
      </c>
      <c r="G85" s="400">
        <v>321.93</v>
      </c>
      <c r="H85" s="382">
        <f t="shared" si="1"/>
        <v>402.18714899999998</v>
      </c>
      <c r="I85" s="383">
        <f t="shared" ref="I85:I136" si="9">ROUND(H85*F85,2)</f>
        <v>467606.91</v>
      </c>
    </row>
    <row r="86" spans="1:9" x14ac:dyDescent="0.25">
      <c r="A86" s="579" t="s">
        <v>489</v>
      </c>
      <c r="B86" s="624" t="s">
        <v>601</v>
      </c>
      <c r="C86" s="557" t="s">
        <v>3535</v>
      </c>
      <c r="D86" s="452" t="s">
        <v>3536</v>
      </c>
      <c r="E86" s="398" t="s">
        <v>378</v>
      </c>
      <c r="F86" s="400">
        <f>(14.2*6+5.38*4)*2.3+5.38*14.2*2</f>
        <v>398.24799999999993</v>
      </c>
      <c r="G86" s="400">
        <v>87.59</v>
      </c>
      <c r="H86" s="382">
        <f t="shared" ref="H86" si="10">G86+(G86*$H$14)</f>
        <v>109.426187</v>
      </c>
      <c r="I86" s="383">
        <f t="shared" ref="I86" si="11">ROUND(H86*F86,2)</f>
        <v>43578.76</v>
      </c>
    </row>
    <row r="87" spans="1:9" x14ac:dyDescent="0.25">
      <c r="A87" s="579" t="s">
        <v>490</v>
      </c>
      <c r="B87" s="624" t="s">
        <v>315</v>
      </c>
      <c r="C87" s="557" t="s">
        <v>410</v>
      </c>
      <c r="D87" s="452" t="s">
        <v>411</v>
      </c>
      <c r="E87" s="398" t="s">
        <v>397</v>
      </c>
      <c r="F87" s="400">
        <v>1162.6600000000001</v>
      </c>
      <c r="G87" s="400">
        <v>123.21</v>
      </c>
      <c r="H87" s="382">
        <f t="shared" si="1"/>
        <v>153.926253</v>
      </c>
      <c r="I87" s="383">
        <f t="shared" si="9"/>
        <v>178963.9</v>
      </c>
    </row>
    <row r="88" spans="1:9" ht="42.75" x14ac:dyDescent="0.25">
      <c r="A88" s="579" t="s">
        <v>491</v>
      </c>
      <c r="B88" s="624" t="s">
        <v>315</v>
      </c>
      <c r="C88" s="557" t="s">
        <v>418</v>
      </c>
      <c r="D88" s="452" t="s">
        <v>419</v>
      </c>
      <c r="E88" s="398" t="s">
        <v>420</v>
      </c>
      <c r="F88" s="400">
        <v>4880.7</v>
      </c>
      <c r="G88" s="400">
        <v>9.8800000000000008</v>
      </c>
      <c r="H88" s="382">
        <f t="shared" si="1"/>
        <v>12.343084000000001</v>
      </c>
      <c r="I88" s="383">
        <f t="shared" si="9"/>
        <v>60242.89</v>
      </c>
    </row>
    <row r="89" spans="1:9" ht="42.75" x14ac:dyDescent="0.25">
      <c r="A89" s="579" t="s">
        <v>492</v>
      </c>
      <c r="B89" s="608" t="s">
        <v>315</v>
      </c>
      <c r="C89" s="557" t="s">
        <v>422</v>
      </c>
      <c r="D89" s="452" t="s">
        <v>423</v>
      </c>
      <c r="E89" s="398" t="s">
        <v>420</v>
      </c>
      <c r="F89" s="400">
        <v>14099.8</v>
      </c>
      <c r="G89" s="400">
        <v>8.98</v>
      </c>
      <c r="H89" s="382">
        <f t="shared" si="1"/>
        <v>11.218714</v>
      </c>
      <c r="I89" s="383">
        <f t="shared" si="9"/>
        <v>158181.62</v>
      </c>
    </row>
    <row r="90" spans="1:9" ht="42.75" x14ac:dyDescent="0.25">
      <c r="A90" s="579" t="s">
        <v>493</v>
      </c>
      <c r="B90" s="608" t="s">
        <v>315</v>
      </c>
      <c r="C90" s="557" t="s">
        <v>425</v>
      </c>
      <c r="D90" s="452" t="s">
        <v>426</v>
      </c>
      <c r="E90" s="398" t="s">
        <v>420</v>
      </c>
      <c r="F90" s="400">
        <v>12441</v>
      </c>
      <c r="G90" s="400">
        <v>8.5</v>
      </c>
      <c r="H90" s="382">
        <f t="shared" si="1"/>
        <v>10.61905</v>
      </c>
      <c r="I90" s="383">
        <f t="shared" si="9"/>
        <v>132111.6</v>
      </c>
    </row>
    <row r="91" spans="1:9" ht="42.75" x14ac:dyDescent="0.25">
      <c r="A91" s="579" t="s">
        <v>494</v>
      </c>
      <c r="B91" s="608" t="s">
        <v>315</v>
      </c>
      <c r="C91" s="557" t="s">
        <v>428</v>
      </c>
      <c r="D91" s="452" t="s">
        <v>429</v>
      </c>
      <c r="E91" s="398" t="s">
        <v>420</v>
      </c>
      <c r="F91" s="400">
        <v>10469.799999999999</v>
      </c>
      <c r="G91" s="400">
        <v>6.89</v>
      </c>
      <c r="H91" s="382">
        <f t="shared" si="1"/>
        <v>8.6076769999999989</v>
      </c>
      <c r="I91" s="383">
        <f t="shared" si="9"/>
        <v>90120.66</v>
      </c>
    </row>
    <row r="92" spans="1:9" ht="42.75" x14ac:dyDescent="0.25">
      <c r="A92" s="579" t="s">
        <v>495</v>
      </c>
      <c r="B92" s="608" t="s">
        <v>315</v>
      </c>
      <c r="C92" s="557" t="s">
        <v>431</v>
      </c>
      <c r="D92" s="452" t="s">
        <v>432</v>
      </c>
      <c r="E92" s="398" t="s">
        <v>420</v>
      </c>
      <c r="F92" s="400">
        <v>9488.6</v>
      </c>
      <c r="G92" s="400">
        <v>5.68</v>
      </c>
      <c r="H92" s="382">
        <f t="shared" si="1"/>
        <v>7.0960239999999999</v>
      </c>
      <c r="I92" s="383">
        <f t="shared" si="9"/>
        <v>67331.33</v>
      </c>
    </row>
    <row r="93" spans="1:9" ht="42.75" x14ac:dyDescent="0.25">
      <c r="A93" s="579" t="s">
        <v>496</v>
      </c>
      <c r="B93" s="608" t="s">
        <v>315</v>
      </c>
      <c r="C93" s="557" t="s">
        <v>434</v>
      </c>
      <c r="D93" s="452" t="s">
        <v>435</v>
      </c>
      <c r="E93" s="398" t="s">
        <v>420</v>
      </c>
      <c r="F93" s="400">
        <v>6521.9</v>
      </c>
      <c r="G93" s="400">
        <v>4.42</v>
      </c>
      <c r="H93" s="382">
        <f t="shared" ref="H93:H155" si="12">G93+(G93*$H$14)</f>
        <v>5.5219059999999995</v>
      </c>
      <c r="I93" s="383">
        <f t="shared" si="9"/>
        <v>36013.32</v>
      </c>
    </row>
    <row r="94" spans="1:9" ht="42.75" x14ac:dyDescent="0.25">
      <c r="A94" s="579" t="s">
        <v>499</v>
      </c>
      <c r="B94" s="608" t="s">
        <v>315</v>
      </c>
      <c r="C94" s="557" t="s">
        <v>497</v>
      </c>
      <c r="D94" s="452" t="s">
        <v>498</v>
      </c>
      <c r="E94" s="398" t="s">
        <v>420</v>
      </c>
      <c r="F94" s="400">
        <v>144.1</v>
      </c>
      <c r="G94" s="400">
        <v>3.95</v>
      </c>
      <c r="H94" s="382">
        <f t="shared" si="12"/>
        <v>4.9347349999999999</v>
      </c>
      <c r="I94" s="383">
        <f t="shared" si="9"/>
        <v>711.1</v>
      </c>
    </row>
    <row r="95" spans="1:9" ht="28.5" x14ac:dyDescent="0.25">
      <c r="A95" s="579" t="s">
        <v>3537</v>
      </c>
      <c r="B95" s="608" t="s">
        <v>320</v>
      </c>
      <c r="C95" s="557">
        <v>7947</v>
      </c>
      <c r="D95" s="452" t="s">
        <v>500</v>
      </c>
      <c r="E95" s="398" t="s">
        <v>378</v>
      </c>
      <c r="F95" s="400">
        <v>10187.370000000001</v>
      </c>
      <c r="G95" s="400">
        <v>123.78</v>
      </c>
      <c r="H95" s="382">
        <f t="shared" si="12"/>
        <v>154.63835399999999</v>
      </c>
      <c r="I95" s="383">
        <f t="shared" si="9"/>
        <v>1575358.13</v>
      </c>
    </row>
    <row r="96" spans="1:9" x14ac:dyDescent="0.25">
      <c r="A96" s="580" t="s">
        <v>501</v>
      </c>
      <c r="B96" s="607"/>
      <c r="C96" s="592"/>
      <c r="D96" s="453" t="s">
        <v>502</v>
      </c>
      <c r="E96" s="401"/>
      <c r="F96" s="401"/>
      <c r="G96" s="401"/>
      <c r="H96" s="382"/>
      <c r="I96" s="383"/>
    </row>
    <row r="97" spans="1:12" x14ac:dyDescent="0.25">
      <c r="A97" s="579" t="s">
        <v>503</v>
      </c>
      <c r="B97" s="624" t="s">
        <v>504</v>
      </c>
      <c r="C97" s="557" t="s">
        <v>505</v>
      </c>
      <c r="D97" s="452" t="s">
        <v>506</v>
      </c>
      <c r="E97" s="398" t="s">
        <v>420</v>
      </c>
      <c r="F97" s="400">
        <v>72031</v>
      </c>
      <c r="G97" s="400">
        <v>6.22</v>
      </c>
      <c r="H97" s="382">
        <f t="shared" ref="H97" si="13">G97+(G97*$H$14)</f>
        <v>7.7706459999999993</v>
      </c>
      <c r="I97" s="383">
        <f t="shared" ref="I97" si="14">ROUND(H97*F97,2)</f>
        <v>559727.4</v>
      </c>
    </row>
    <row r="98" spans="1:12" x14ac:dyDescent="0.25">
      <c r="A98" s="579" t="s">
        <v>507</v>
      </c>
      <c r="B98" s="608" t="s">
        <v>504</v>
      </c>
      <c r="C98" s="557" t="s">
        <v>508</v>
      </c>
      <c r="D98" s="452" t="s">
        <v>509</v>
      </c>
      <c r="E98" s="398" t="s">
        <v>420</v>
      </c>
      <c r="F98" s="400">
        <v>6888</v>
      </c>
      <c r="G98" s="400">
        <v>6.24</v>
      </c>
      <c r="H98" s="382">
        <f t="shared" si="12"/>
        <v>7.7956320000000003</v>
      </c>
      <c r="I98" s="383">
        <f t="shared" si="9"/>
        <v>53696.31</v>
      </c>
      <c r="L98" s="371"/>
    </row>
    <row r="99" spans="1:12" x14ac:dyDescent="0.25">
      <c r="A99" s="579" t="s">
        <v>510</v>
      </c>
      <c r="B99" s="608" t="s">
        <v>504</v>
      </c>
      <c r="C99" s="557" t="s">
        <v>511</v>
      </c>
      <c r="D99" s="452" t="s">
        <v>512</v>
      </c>
      <c r="E99" s="398" t="s">
        <v>420</v>
      </c>
      <c r="F99" s="400">
        <v>6624</v>
      </c>
      <c r="G99" s="400">
        <v>6.24</v>
      </c>
      <c r="H99" s="382">
        <f t="shared" si="12"/>
        <v>7.7956320000000003</v>
      </c>
      <c r="I99" s="383">
        <f t="shared" si="9"/>
        <v>51638.27</v>
      </c>
    </row>
    <row r="100" spans="1:12" x14ac:dyDescent="0.25">
      <c r="A100" s="580" t="s">
        <v>513</v>
      </c>
      <c r="B100" s="607"/>
      <c r="C100" s="592"/>
      <c r="D100" s="453" t="s">
        <v>514</v>
      </c>
      <c r="E100" s="401"/>
      <c r="F100" s="403"/>
      <c r="G100" s="403"/>
      <c r="H100" s="382"/>
      <c r="I100" s="383"/>
    </row>
    <row r="101" spans="1:12" x14ac:dyDescent="0.25">
      <c r="A101" s="579" t="s">
        <v>515</v>
      </c>
      <c r="B101" s="608" t="s">
        <v>504</v>
      </c>
      <c r="C101" s="557" t="s">
        <v>516</v>
      </c>
      <c r="D101" s="452" t="s">
        <v>517</v>
      </c>
      <c r="E101" s="398" t="s">
        <v>420</v>
      </c>
      <c r="F101" s="400">
        <v>26392</v>
      </c>
      <c r="G101" s="400">
        <v>6.24</v>
      </c>
      <c r="H101" s="382">
        <f t="shared" si="12"/>
        <v>7.7956320000000003</v>
      </c>
      <c r="I101" s="383">
        <f t="shared" si="9"/>
        <v>205742.32</v>
      </c>
    </row>
    <row r="102" spans="1:12" x14ac:dyDescent="0.25">
      <c r="A102" s="579" t="s">
        <v>518</v>
      </c>
      <c r="B102" s="608" t="s">
        <v>504</v>
      </c>
      <c r="C102" s="557" t="s">
        <v>519</v>
      </c>
      <c r="D102" s="452" t="s">
        <v>520</v>
      </c>
      <c r="E102" s="398" t="s">
        <v>420</v>
      </c>
      <c r="F102" s="400">
        <v>8452</v>
      </c>
      <c r="G102" s="400">
        <v>6.24</v>
      </c>
      <c r="H102" s="382">
        <f t="shared" si="12"/>
        <v>7.7956320000000003</v>
      </c>
      <c r="I102" s="383">
        <f t="shared" si="9"/>
        <v>65888.679999999993</v>
      </c>
    </row>
    <row r="103" spans="1:12" x14ac:dyDescent="0.25">
      <c r="A103" s="579" t="s">
        <v>521</v>
      </c>
      <c r="B103" s="608" t="s">
        <v>504</v>
      </c>
      <c r="C103" s="557" t="s">
        <v>522</v>
      </c>
      <c r="D103" s="452" t="s">
        <v>523</v>
      </c>
      <c r="E103" s="398" t="s">
        <v>420</v>
      </c>
      <c r="F103" s="400">
        <v>29681</v>
      </c>
      <c r="G103" s="400">
        <v>6.24</v>
      </c>
      <c r="H103" s="382">
        <f t="shared" si="12"/>
        <v>7.7956320000000003</v>
      </c>
      <c r="I103" s="383">
        <f t="shared" si="9"/>
        <v>231382.15</v>
      </c>
    </row>
    <row r="104" spans="1:12" x14ac:dyDescent="0.25">
      <c r="A104" s="579" t="s">
        <v>524</v>
      </c>
      <c r="B104" s="608" t="s">
        <v>504</v>
      </c>
      <c r="C104" s="557" t="s">
        <v>525</v>
      </c>
      <c r="D104" s="452" t="s">
        <v>526</v>
      </c>
      <c r="E104" s="398" t="s">
        <v>420</v>
      </c>
      <c r="F104" s="400">
        <v>11892</v>
      </c>
      <c r="G104" s="400">
        <v>6.24</v>
      </c>
      <c r="H104" s="382">
        <f t="shared" si="12"/>
        <v>7.7956320000000003</v>
      </c>
      <c r="I104" s="383">
        <f t="shared" si="9"/>
        <v>92705.66</v>
      </c>
    </row>
    <row r="105" spans="1:12" x14ac:dyDescent="0.25">
      <c r="A105" s="579" t="s">
        <v>527</v>
      </c>
      <c r="B105" s="608" t="s">
        <v>504</v>
      </c>
      <c r="C105" s="557" t="s">
        <v>528</v>
      </c>
      <c r="D105" s="452" t="s">
        <v>529</v>
      </c>
      <c r="E105" s="398" t="s">
        <v>420</v>
      </c>
      <c r="F105" s="400">
        <v>6941</v>
      </c>
      <c r="G105" s="400">
        <v>6.24</v>
      </c>
      <c r="H105" s="382">
        <f t="shared" si="12"/>
        <v>7.7956320000000003</v>
      </c>
      <c r="I105" s="383">
        <f t="shared" si="9"/>
        <v>54109.48</v>
      </c>
    </row>
    <row r="106" spans="1:12" ht="28.5" x14ac:dyDescent="0.25">
      <c r="A106" s="579" t="s">
        <v>530</v>
      </c>
      <c r="B106" s="608" t="s">
        <v>504</v>
      </c>
      <c r="C106" s="557" t="s">
        <v>531</v>
      </c>
      <c r="D106" s="452" t="s">
        <v>532</v>
      </c>
      <c r="E106" s="398" t="s">
        <v>420</v>
      </c>
      <c r="F106" s="400">
        <v>616</v>
      </c>
      <c r="G106" s="400">
        <v>6.07</v>
      </c>
      <c r="H106" s="382">
        <f t="shared" si="12"/>
        <v>7.5832510000000006</v>
      </c>
      <c r="I106" s="383">
        <f t="shared" si="9"/>
        <v>4671.28</v>
      </c>
    </row>
    <row r="107" spans="1:12" x14ac:dyDescent="0.25">
      <c r="A107" s="579" t="s">
        <v>533</v>
      </c>
      <c r="B107" s="608" t="s">
        <v>504</v>
      </c>
      <c r="C107" s="557" t="s">
        <v>534</v>
      </c>
      <c r="D107" s="452" t="s">
        <v>535</v>
      </c>
      <c r="E107" s="398" t="s">
        <v>420</v>
      </c>
      <c r="F107" s="400">
        <v>33666</v>
      </c>
      <c r="G107" s="400">
        <v>6.24</v>
      </c>
      <c r="H107" s="382">
        <f t="shared" si="12"/>
        <v>7.7956320000000003</v>
      </c>
      <c r="I107" s="383">
        <f t="shared" si="9"/>
        <v>262447.75</v>
      </c>
    </row>
    <row r="108" spans="1:12" x14ac:dyDescent="0.25">
      <c r="A108" s="579" t="s">
        <v>536</v>
      </c>
      <c r="B108" s="608" t="s">
        <v>504</v>
      </c>
      <c r="C108" s="557" t="s">
        <v>537</v>
      </c>
      <c r="D108" s="452" t="s">
        <v>538</v>
      </c>
      <c r="E108" s="398" t="s">
        <v>420</v>
      </c>
      <c r="F108" s="400">
        <v>3415</v>
      </c>
      <c r="G108" s="400">
        <v>6.24</v>
      </c>
      <c r="H108" s="382">
        <f t="shared" si="12"/>
        <v>7.7956320000000003</v>
      </c>
      <c r="I108" s="383">
        <f t="shared" si="9"/>
        <v>26622.080000000002</v>
      </c>
    </row>
    <row r="109" spans="1:12" x14ac:dyDescent="0.25">
      <c r="A109" s="579" t="s">
        <v>539</v>
      </c>
      <c r="B109" s="608" t="s">
        <v>504</v>
      </c>
      <c r="C109" s="557" t="s">
        <v>540</v>
      </c>
      <c r="D109" s="452" t="s">
        <v>541</v>
      </c>
      <c r="E109" s="398" t="s">
        <v>420</v>
      </c>
      <c r="F109" s="400">
        <v>5276</v>
      </c>
      <c r="G109" s="400">
        <v>6.24</v>
      </c>
      <c r="H109" s="382">
        <f t="shared" si="12"/>
        <v>7.7956320000000003</v>
      </c>
      <c r="I109" s="383">
        <f t="shared" si="9"/>
        <v>41129.75</v>
      </c>
    </row>
    <row r="110" spans="1:12" x14ac:dyDescent="0.25">
      <c r="A110" s="579" t="s">
        <v>542</v>
      </c>
      <c r="B110" s="608" t="s">
        <v>504</v>
      </c>
      <c r="C110" s="557" t="s">
        <v>543</v>
      </c>
      <c r="D110" s="452" t="s">
        <v>544</v>
      </c>
      <c r="E110" s="398" t="s">
        <v>420</v>
      </c>
      <c r="F110" s="400">
        <v>13932</v>
      </c>
      <c r="G110" s="400">
        <v>6.24</v>
      </c>
      <c r="H110" s="382">
        <f t="shared" si="12"/>
        <v>7.7956320000000003</v>
      </c>
      <c r="I110" s="383">
        <f t="shared" si="9"/>
        <v>108608.75</v>
      </c>
    </row>
    <row r="111" spans="1:12" x14ac:dyDescent="0.25">
      <c r="A111" s="579" t="s">
        <v>545</v>
      </c>
      <c r="B111" s="608" t="s">
        <v>504</v>
      </c>
      <c r="C111" s="557" t="s">
        <v>546</v>
      </c>
      <c r="D111" s="452" t="s">
        <v>547</v>
      </c>
      <c r="E111" s="398" t="s">
        <v>420</v>
      </c>
      <c r="F111" s="400">
        <v>2630</v>
      </c>
      <c r="G111" s="400">
        <v>6.29</v>
      </c>
      <c r="H111" s="382">
        <f t="shared" si="12"/>
        <v>7.8580969999999999</v>
      </c>
      <c r="I111" s="383">
        <f t="shared" si="9"/>
        <v>20666.8</v>
      </c>
    </row>
    <row r="112" spans="1:12" x14ac:dyDescent="0.25">
      <c r="A112" s="579" t="s">
        <v>548</v>
      </c>
      <c r="B112" s="608" t="s">
        <v>504</v>
      </c>
      <c r="C112" s="557" t="s">
        <v>549</v>
      </c>
      <c r="D112" s="452" t="s">
        <v>550</v>
      </c>
      <c r="E112" s="398" t="s">
        <v>420</v>
      </c>
      <c r="F112" s="400">
        <v>168</v>
      </c>
      <c r="G112" s="400">
        <v>6.29</v>
      </c>
      <c r="H112" s="382">
        <f t="shared" si="12"/>
        <v>7.8580969999999999</v>
      </c>
      <c r="I112" s="383">
        <f t="shared" si="9"/>
        <v>1320.16</v>
      </c>
    </row>
    <row r="113" spans="1:10" x14ac:dyDescent="0.25">
      <c r="A113" s="580" t="s">
        <v>551</v>
      </c>
      <c r="B113" s="607"/>
      <c r="C113" s="592"/>
      <c r="D113" s="453" t="s">
        <v>552</v>
      </c>
      <c r="E113" s="401"/>
      <c r="F113" s="403"/>
      <c r="G113" s="403"/>
      <c r="H113" s="382"/>
      <c r="I113" s="383"/>
    </row>
    <row r="114" spans="1:10" x14ac:dyDescent="0.25">
      <c r="A114" s="579" t="s">
        <v>553</v>
      </c>
      <c r="B114" s="608" t="s">
        <v>504</v>
      </c>
      <c r="C114" s="557" t="s">
        <v>516</v>
      </c>
      <c r="D114" s="452" t="s">
        <v>517</v>
      </c>
      <c r="E114" s="398" t="s">
        <v>420</v>
      </c>
      <c r="F114" s="400">
        <v>17235</v>
      </c>
      <c r="G114" s="400">
        <v>6.24</v>
      </c>
      <c r="H114" s="382">
        <f t="shared" si="12"/>
        <v>7.7956320000000003</v>
      </c>
      <c r="I114" s="383">
        <f t="shared" si="9"/>
        <v>134357.72</v>
      </c>
    </row>
    <row r="115" spans="1:10" x14ac:dyDescent="0.25">
      <c r="A115" s="579" t="s">
        <v>554</v>
      </c>
      <c r="B115" s="608" t="s">
        <v>504</v>
      </c>
      <c r="C115" s="557" t="s">
        <v>525</v>
      </c>
      <c r="D115" s="452" t="s">
        <v>526</v>
      </c>
      <c r="E115" s="398" t="s">
        <v>420</v>
      </c>
      <c r="F115" s="400">
        <v>11343</v>
      </c>
      <c r="G115" s="400">
        <v>6.24</v>
      </c>
      <c r="H115" s="382">
        <f t="shared" si="12"/>
        <v>7.7956320000000003</v>
      </c>
      <c r="I115" s="383">
        <f t="shared" si="9"/>
        <v>88425.85</v>
      </c>
    </row>
    <row r="116" spans="1:10" x14ac:dyDescent="0.25">
      <c r="A116" s="579" t="s">
        <v>555</v>
      </c>
      <c r="B116" s="608" t="s">
        <v>504</v>
      </c>
      <c r="C116" s="557" t="s">
        <v>519</v>
      </c>
      <c r="D116" s="452" t="s">
        <v>520</v>
      </c>
      <c r="E116" s="398" t="s">
        <v>420</v>
      </c>
      <c r="F116" s="400">
        <v>6540</v>
      </c>
      <c r="G116" s="400">
        <v>6.24</v>
      </c>
      <c r="H116" s="382">
        <f t="shared" si="12"/>
        <v>7.7956320000000003</v>
      </c>
      <c r="I116" s="383">
        <f t="shared" si="9"/>
        <v>50983.43</v>
      </c>
    </row>
    <row r="117" spans="1:10" x14ac:dyDescent="0.25">
      <c r="A117" s="579" t="s">
        <v>556</v>
      </c>
      <c r="B117" s="608" t="s">
        <v>504</v>
      </c>
      <c r="C117" s="557" t="s">
        <v>528</v>
      </c>
      <c r="D117" s="452" t="s">
        <v>529</v>
      </c>
      <c r="E117" s="398" t="s">
        <v>420</v>
      </c>
      <c r="F117" s="400">
        <v>6631</v>
      </c>
      <c r="G117" s="400">
        <v>6.24</v>
      </c>
      <c r="H117" s="382">
        <f t="shared" si="12"/>
        <v>7.7956320000000003</v>
      </c>
      <c r="I117" s="383">
        <f t="shared" si="9"/>
        <v>51692.84</v>
      </c>
    </row>
    <row r="118" spans="1:10" ht="28.5" x14ac:dyDescent="0.25">
      <c r="A118" s="579" t="s">
        <v>557</v>
      </c>
      <c r="B118" s="608" t="s">
        <v>504</v>
      </c>
      <c r="C118" s="557" t="s">
        <v>531</v>
      </c>
      <c r="D118" s="452" t="s">
        <v>532</v>
      </c>
      <c r="E118" s="398" t="s">
        <v>420</v>
      </c>
      <c r="F118" s="400">
        <v>130</v>
      </c>
      <c r="G118" s="400">
        <v>6.07</v>
      </c>
      <c r="H118" s="382">
        <f t="shared" si="12"/>
        <v>7.5832510000000006</v>
      </c>
      <c r="I118" s="383">
        <f t="shared" si="9"/>
        <v>985.82</v>
      </c>
    </row>
    <row r="119" spans="1:10" x14ac:dyDescent="0.25">
      <c r="A119" s="579" t="s">
        <v>558</v>
      </c>
      <c r="B119" s="608" t="s">
        <v>504</v>
      </c>
      <c r="C119" s="557" t="s">
        <v>534</v>
      </c>
      <c r="D119" s="452" t="s">
        <v>535</v>
      </c>
      <c r="E119" s="398" t="s">
        <v>420</v>
      </c>
      <c r="F119" s="400">
        <v>14678</v>
      </c>
      <c r="G119" s="400">
        <v>6.24</v>
      </c>
      <c r="H119" s="382">
        <f t="shared" si="12"/>
        <v>7.7956320000000003</v>
      </c>
      <c r="I119" s="383">
        <f t="shared" si="9"/>
        <v>114424.29</v>
      </c>
    </row>
    <row r="120" spans="1:10" x14ac:dyDescent="0.25">
      <c r="A120" s="579" t="s">
        <v>559</v>
      </c>
      <c r="B120" s="608" t="s">
        <v>504</v>
      </c>
      <c r="C120" s="557" t="s">
        <v>522</v>
      </c>
      <c r="D120" s="452" t="s">
        <v>523</v>
      </c>
      <c r="E120" s="398" t="s">
        <v>420</v>
      </c>
      <c r="F120" s="400">
        <v>3041</v>
      </c>
      <c r="G120" s="400">
        <v>6.24</v>
      </c>
      <c r="H120" s="382">
        <f t="shared" si="12"/>
        <v>7.7956320000000003</v>
      </c>
      <c r="I120" s="383">
        <f t="shared" si="9"/>
        <v>23706.52</v>
      </c>
    </row>
    <row r="121" spans="1:10" x14ac:dyDescent="0.25">
      <c r="A121" s="579" t="s">
        <v>560</v>
      </c>
      <c r="B121" s="608" t="s">
        <v>504</v>
      </c>
      <c r="C121" s="557" t="s">
        <v>543</v>
      </c>
      <c r="D121" s="452" t="s">
        <v>544</v>
      </c>
      <c r="E121" s="398" t="s">
        <v>420</v>
      </c>
      <c r="F121" s="400">
        <v>7844</v>
      </c>
      <c r="G121" s="400">
        <v>6.24</v>
      </c>
      <c r="H121" s="382">
        <f t="shared" si="12"/>
        <v>7.7956320000000003</v>
      </c>
      <c r="I121" s="383">
        <f t="shared" si="9"/>
        <v>61148.94</v>
      </c>
    </row>
    <row r="122" spans="1:10" x14ac:dyDescent="0.25">
      <c r="A122" s="579" t="s">
        <v>561</v>
      </c>
      <c r="B122" s="608" t="s">
        <v>504</v>
      </c>
      <c r="C122" s="557" t="s">
        <v>540</v>
      </c>
      <c r="D122" s="452" t="s">
        <v>541</v>
      </c>
      <c r="E122" s="398" t="s">
        <v>420</v>
      </c>
      <c r="F122" s="400">
        <v>1537</v>
      </c>
      <c r="G122" s="400">
        <v>6.24</v>
      </c>
      <c r="H122" s="382">
        <f t="shared" si="12"/>
        <v>7.7956320000000003</v>
      </c>
      <c r="I122" s="383">
        <f t="shared" si="9"/>
        <v>11981.89</v>
      </c>
    </row>
    <row r="123" spans="1:10" x14ac:dyDescent="0.25">
      <c r="A123" s="579" t="s">
        <v>562</v>
      </c>
      <c r="B123" s="608" t="s">
        <v>504</v>
      </c>
      <c r="C123" s="557" t="s">
        <v>537</v>
      </c>
      <c r="D123" s="452" t="s">
        <v>538</v>
      </c>
      <c r="E123" s="398" t="s">
        <v>420</v>
      </c>
      <c r="F123" s="400">
        <v>1114</v>
      </c>
      <c r="G123" s="400">
        <v>6.24</v>
      </c>
      <c r="H123" s="382">
        <f t="shared" si="12"/>
        <v>7.7956320000000003</v>
      </c>
      <c r="I123" s="383">
        <f t="shared" si="9"/>
        <v>8684.33</v>
      </c>
    </row>
    <row r="124" spans="1:10" x14ac:dyDescent="0.25">
      <c r="A124" s="579" t="s">
        <v>563</v>
      </c>
      <c r="B124" s="608" t="s">
        <v>504</v>
      </c>
      <c r="C124" s="557" t="s">
        <v>549</v>
      </c>
      <c r="D124" s="452" t="s">
        <v>550</v>
      </c>
      <c r="E124" s="398" t="s">
        <v>420</v>
      </c>
      <c r="F124" s="400">
        <v>160</v>
      </c>
      <c r="G124" s="400">
        <v>6.29</v>
      </c>
      <c r="H124" s="382">
        <f t="shared" si="12"/>
        <v>7.8580969999999999</v>
      </c>
      <c r="I124" s="383">
        <f t="shared" si="9"/>
        <v>1257.3</v>
      </c>
    </row>
    <row r="125" spans="1:10" x14ac:dyDescent="0.25">
      <c r="A125" s="579" t="s">
        <v>564</v>
      </c>
      <c r="B125" s="608" t="s">
        <v>504</v>
      </c>
      <c r="C125" s="557" t="s">
        <v>546</v>
      </c>
      <c r="D125" s="452" t="s">
        <v>547</v>
      </c>
      <c r="E125" s="398" t="s">
        <v>420</v>
      </c>
      <c r="F125" s="400">
        <v>2458</v>
      </c>
      <c r="G125" s="400">
        <v>6.29</v>
      </c>
      <c r="H125" s="382">
        <f t="shared" si="12"/>
        <v>7.8580969999999999</v>
      </c>
      <c r="I125" s="383">
        <f t="shared" si="9"/>
        <v>19315.2</v>
      </c>
    </row>
    <row r="126" spans="1:10" x14ac:dyDescent="0.25">
      <c r="A126" s="580" t="s">
        <v>565</v>
      </c>
      <c r="B126" s="607"/>
      <c r="C126" s="592"/>
      <c r="D126" s="453" t="s">
        <v>566</v>
      </c>
      <c r="E126" s="401"/>
      <c r="F126" s="403"/>
      <c r="G126" s="403"/>
      <c r="H126" s="382"/>
      <c r="I126" s="383"/>
    </row>
    <row r="127" spans="1:10" x14ac:dyDescent="0.25">
      <c r="A127" s="579" t="s">
        <v>567</v>
      </c>
      <c r="B127" s="608" t="s">
        <v>504</v>
      </c>
      <c r="C127" s="557" t="s">
        <v>516</v>
      </c>
      <c r="D127" s="452" t="s">
        <v>517</v>
      </c>
      <c r="E127" s="398" t="s">
        <v>420</v>
      </c>
      <c r="F127" s="400">
        <v>15340</v>
      </c>
      <c r="G127" s="400">
        <v>6.24</v>
      </c>
      <c r="H127" s="382">
        <f t="shared" si="12"/>
        <v>7.7956320000000003</v>
      </c>
      <c r="I127" s="383">
        <f t="shared" si="9"/>
        <v>119584.99</v>
      </c>
      <c r="J127" s="372"/>
    </row>
    <row r="128" spans="1:10" x14ac:dyDescent="0.25">
      <c r="A128" s="579" t="s">
        <v>568</v>
      </c>
      <c r="B128" s="608" t="s">
        <v>504</v>
      </c>
      <c r="C128" s="557" t="s">
        <v>525</v>
      </c>
      <c r="D128" s="452" t="s">
        <v>526</v>
      </c>
      <c r="E128" s="398" t="s">
        <v>420</v>
      </c>
      <c r="F128" s="400">
        <v>11169</v>
      </c>
      <c r="G128" s="400">
        <v>6.24</v>
      </c>
      <c r="H128" s="382">
        <f t="shared" si="12"/>
        <v>7.7956320000000003</v>
      </c>
      <c r="I128" s="383">
        <f t="shared" si="9"/>
        <v>87069.41</v>
      </c>
    </row>
    <row r="129" spans="1:12" x14ac:dyDescent="0.25">
      <c r="A129" s="579" t="s">
        <v>569</v>
      </c>
      <c r="B129" s="608" t="s">
        <v>504</v>
      </c>
      <c r="C129" s="557" t="s">
        <v>519</v>
      </c>
      <c r="D129" s="452" t="s">
        <v>520</v>
      </c>
      <c r="E129" s="398" t="s">
        <v>420</v>
      </c>
      <c r="F129" s="400">
        <v>5180</v>
      </c>
      <c r="G129" s="400">
        <v>6.24</v>
      </c>
      <c r="H129" s="382">
        <f t="shared" si="12"/>
        <v>7.7956320000000003</v>
      </c>
      <c r="I129" s="383">
        <f t="shared" si="9"/>
        <v>40381.370000000003</v>
      </c>
    </row>
    <row r="130" spans="1:12" x14ac:dyDescent="0.25">
      <c r="A130" s="579" t="s">
        <v>570</v>
      </c>
      <c r="B130" s="608" t="s">
        <v>504</v>
      </c>
      <c r="C130" s="557" t="s">
        <v>528</v>
      </c>
      <c r="D130" s="452" t="s">
        <v>529</v>
      </c>
      <c r="E130" s="398" t="s">
        <v>420</v>
      </c>
      <c r="F130" s="400">
        <v>6630</v>
      </c>
      <c r="G130" s="400">
        <v>6.24</v>
      </c>
      <c r="H130" s="382">
        <f t="shared" si="12"/>
        <v>7.7956320000000003</v>
      </c>
      <c r="I130" s="383">
        <f t="shared" si="9"/>
        <v>51685.04</v>
      </c>
    </row>
    <row r="131" spans="1:12" ht="28.5" x14ac:dyDescent="0.25">
      <c r="A131" s="579" t="s">
        <v>571</v>
      </c>
      <c r="B131" s="608" t="s">
        <v>504</v>
      </c>
      <c r="C131" s="557" t="s">
        <v>531</v>
      </c>
      <c r="D131" s="452" t="s">
        <v>532</v>
      </c>
      <c r="E131" s="398" t="s">
        <v>420</v>
      </c>
      <c r="F131" s="400">
        <v>130</v>
      </c>
      <c r="G131" s="400">
        <v>6.07</v>
      </c>
      <c r="H131" s="382">
        <f t="shared" si="12"/>
        <v>7.5832510000000006</v>
      </c>
      <c r="I131" s="383">
        <f t="shared" si="9"/>
        <v>985.82</v>
      </c>
    </row>
    <row r="132" spans="1:12" x14ac:dyDescent="0.25">
      <c r="A132" s="579" t="s">
        <v>572</v>
      </c>
      <c r="B132" s="608" t="s">
        <v>504</v>
      </c>
      <c r="C132" s="557" t="s">
        <v>534</v>
      </c>
      <c r="D132" s="452" t="s">
        <v>535</v>
      </c>
      <c r="E132" s="398" t="s">
        <v>420</v>
      </c>
      <c r="F132" s="400">
        <v>1537</v>
      </c>
      <c r="G132" s="400">
        <v>6.24</v>
      </c>
      <c r="H132" s="382">
        <f t="shared" si="12"/>
        <v>7.7956320000000003</v>
      </c>
      <c r="I132" s="383">
        <f t="shared" si="9"/>
        <v>11981.89</v>
      </c>
    </row>
    <row r="133" spans="1:12" x14ac:dyDescent="0.25">
      <c r="A133" s="579" t="s">
        <v>573</v>
      </c>
      <c r="B133" s="608" t="s">
        <v>504</v>
      </c>
      <c r="C133" s="557" t="s">
        <v>543</v>
      </c>
      <c r="D133" s="452" t="s">
        <v>544</v>
      </c>
      <c r="E133" s="398" t="s">
        <v>420</v>
      </c>
      <c r="F133" s="400">
        <v>145</v>
      </c>
      <c r="G133" s="400">
        <v>6.24</v>
      </c>
      <c r="H133" s="382">
        <f t="shared" si="12"/>
        <v>7.7956320000000003</v>
      </c>
      <c r="I133" s="383">
        <f t="shared" si="9"/>
        <v>1130.3699999999999</v>
      </c>
    </row>
    <row r="134" spans="1:12" x14ac:dyDescent="0.25">
      <c r="A134" s="579" t="s">
        <v>574</v>
      </c>
      <c r="B134" s="608" t="s">
        <v>504</v>
      </c>
      <c r="C134" s="557" t="s">
        <v>522</v>
      </c>
      <c r="D134" s="452" t="s">
        <v>523</v>
      </c>
      <c r="E134" s="398" t="s">
        <v>420</v>
      </c>
      <c r="F134" s="400">
        <v>969</v>
      </c>
      <c r="G134" s="400">
        <v>6.24</v>
      </c>
      <c r="H134" s="382">
        <f t="shared" si="12"/>
        <v>7.7956320000000003</v>
      </c>
      <c r="I134" s="383">
        <f t="shared" si="9"/>
        <v>7553.97</v>
      </c>
    </row>
    <row r="135" spans="1:12" x14ac:dyDescent="0.25">
      <c r="A135" s="579" t="s">
        <v>575</v>
      </c>
      <c r="B135" s="608" t="s">
        <v>504</v>
      </c>
      <c r="C135" s="557" t="s">
        <v>549</v>
      </c>
      <c r="D135" s="452" t="s">
        <v>550</v>
      </c>
      <c r="E135" s="398" t="s">
        <v>420</v>
      </c>
      <c r="F135" s="400">
        <v>80</v>
      </c>
      <c r="G135" s="400">
        <v>6.29</v>
      </c>
      <c r="H135" s="382">
        <f t="shared" si="12"/>
        <v>7.8580969999999999</v>
      </c>
      <c r="I135" s="383">
        <f t="shared" si="9"/>
        <v>628.65</v>
      </c>
    </row>
    <row r="136" spans="1:12" x14ac:dyDescent="0.25">
      <c r="A136" s="579" t="s">
        <v>576</v>
      </c>
      <c r="B136" s="608" t="s">
        <v>504</v>
      </c>
      <c r="C136" s="557" t="s">
        <v>546</v>
      </c>
      <c r="D136" s="452" t="s">
        <v>547</v>
      </c>
      <c r="E136" s="398" t="s">
        <v>420</v>
      </c>
      <c r="F136" s="400">
        <v>1144</v>
      </c>
      <c r="G136" s="400">
        <v>6.29</v>
      </c>
      <c r="H136" s="382">
        <f t="shared" si="12"/>
        <v>7.8580969999999999</v>
      </c>
      <c r="I136" s="383">
        <f t="shared" si="9"/>
        <v>8989.66</v>
      </c>
    </row>
    <row r="137" spans="1:12" x14ac:dyDescent="0.25">
      <c r="A137" s="580"/>
      <c r="B137" s="608"/>
      <c r="C137" s="557"/>
      <c r="D137" s="402"/>
      <c r="E137" s="398"/>
      <c r="F137" s="400"/>
      <c r="G137" s="400"/>
      <c r="H137" s="382"/>
      <c r="I137" s="383"/>
    </row>
    <row r="138" spans="1:12" x14ac:dyDescent="0.25">
      <c r="A138" s="577" t="s">
        <v>577</v>
      </c>
      <c r="B138" s="604"/>
      <c r="C138" s="588"/>
      <c r="D138" s="446" t="s">
        <v>578</v>
      </c>
      <c r="E138" s="447"/>
      <c r="F138" s="448"/>
      <c r="G138" s="448"/>
      <c r="H138" s="448"/>
      <c r="I138" s="449">
        <f>SUM(I139:I143)</f>
        <v>1403379.05</v>
      </c>
    </row>
    <row r="139" spans="1:12" x14ac:dyDescent="0.25">
      <c r="A139" s="580" t="s">
        <v>579</v>
      </c>
      <c r="B139" s="608"/>
      <c r="C139" s="557"/>
      <c r="D139" s="453" t="s">
        <v>580</v>
      </c>
      <c r="E139" s="398"/>
      <c r="F139" s="400"/>
      <c r="G139" s="400"/>
      <c r="H139" s="382"/>
      <c r="I139" s="383"/>
    </row>
    <row r="140" spans="1:12" ht="28.5" x14ac:dyDescent="0.25">
      <c r="A140" s="579" t="s">
        <v>581</v>
      </c>
      <c r="B140" s="608" t="s">
        <v>315</v>
      </c>
      <c r="C140" s="557" t="s">
        <v>582</v>
      </c>
      <c r="D140" s="452" t="s">
        <v>583</v>
      </c>
      <c r="E140" s="398" t="s">
        <v>378</v>
      </c>
      <c r="F140" s="400">
        <f>[1]Plan1!J10</f>
        <v>8768.0400000000009</v>
      </c>
      <c r="G140" s="400">
        <v>50.04</v>
      </c>
      <c r="H140" s="382">
        <f t="shared" si="12"/>
        <v>62.514972</v>
      </c>
      <c r="I140" s="383">
        <f>ROUND(H140*F140,2)</f>
        <v>548133.78</v>
      </c>
      <c r="L140" s="381"/>
    </row>
    <row r="141" spans="1:12" ht="29.25" customHeight="1" x14ac:dyDescent="0.25">
      <c r="A141" s="579" t="s">
        <v>584</v>
      </c>
      <c r="B141" s="624" t="s">
        <v>320</v>
      </c>
      <c r="C141" s="557">
        <v>10410</v>
      </c>
      <c r="D141" s="452" t="s">
        <v>3514</v>
      </c>
      <c r="E141" s="398" t="s">
        <v>378</v>
      </c>
      <c r="F141" s="400">
        <f>[1]Plan1!J11</f>
        <v>2939.17</v>
      </c>
      <c r="G141" s="400">
        <v>90</v>
      </c>
      <c r="H141" s="382">
        <f t="shared" si="12"/>
        <v>112.437</v>
      </c>
      <c r="I141" s="383">
        <f>ROUND(H141*F141,2)</f>
        <v>330471.46000000002</v>
      </c>
    </row>
    <row r="142" spans="1:12" x14ac:dyDescent="0.25">
      <c r="A142" s="580" t="s">
        <v>585</v>
      </c>
      <c r="B142" s="607"/>
      <c r="C142" s="592"/>
      <c r="D142" s="453" t="s">
        <v>586</v>
      </c>
      <c r="E142" s="401"/>
      <c r="F142" s="400"/>
      <c r="G142" s="403"/>
      <c r="H142" s="382"/>
      <c r="I142" s="403"/>
      <c r="L142" s="381"/>
    </row>
    <row r="143" spans="1:12" ht="28.5" x14ac:dyDescent="0.25">
      <c r="A143" s="579" t="s">
        <v>587</v>
      </c>
      <c r="B143" s="608" t="s">
        <v>315</v>
      </c>
      <c r="C143" s="557" t="s">
        <v>582</v>
      </c>
      <c r="D143" s="452" t="s">
        <v>583</v>
      </c>
      <c r="E143" s="398" t="s">
        <v>378</v>
      </c>
      <c r="F143" s="400">
        <f>[1]Plan1!J13</f>
        <v>8394.369999999999</v>
      </c>
      <c r="G143" s="400">
        <v>50.04</v>
      </c>
      <c r="H143" s="382">
        <f t="shared" si="12"/>
        <v>62.514972</v>
      </c>
      <c r="I143" s="383">
        <f>ROUND(H143*F143,2)</f>
        <v>524773.81000000006</v>
      </c>
    </row>
    <row r="144" spans="1:12" x14ac:dyDescent="0.25">
      <c r="A144" s="579"/>
      <c r="B144" s="608"/>
      <c r="C144" s="557"/>
      <c r="D144" s="452"/>
      <c r="E144" s="398"/>
      <c r="F144" s="400"/>
      <c r="G144" s="400"/>
      <c r="H144" s="382"/>
      <c r="I144" s="383"/>
    </row>
    <row r="145" spans="1:12" x14ac:dyDescent="0.25">
      <c r="A145" s="577" t="s">
        <v>588</v>
      </c>
      <c r="B145" s="604"/>
      <c r="C145" s="588"/>
      <c r="D145" s="446" t="s">
        <v>589</v>
      </c>
      <c r="E145" s="447"/>
      <c r="F145" s="448"/>
      <c r="G145" s="448"/>
      <c r="H145" s="448"/>
      <c r="I145" s="449">
        <f>SUM(I146:I171)</f>
        <v>2650430.1800000011</v>
      </c>
    </row>
    <row r="146" spans="1:12" x14ac:dyDescent="0.25">
      <c r="A146" s="580" t="s">
        <v>590</v>
      </c>
      <c r="B146" s="608"/>
      <c r="C146" s="593"/>
      <c r="D146" s="453" t="s">
        <v>591</v>
      </c>
      <c r="E146" s="385"/>
      <c r="F146" s="454"/>
      <c r="G146" s="454"/>
      <c r="H146" s="382"/>
      <c r="I146" s="383"/>
    </row>
    <row r="147" spans="1:12" x14ac:dyDescent="0.25">
      <c r="A147" s="579" t="s">
        <v>592</v>
      </c>
      <c r="B147" s="608" t="s">
        <v>315</v>
      </c>
      <c r="C147" s="593">
        <v>72111</v>
      </c>
      <c r="D147" s="452" t="s">
        <v>593</v>
      </c>
      <c r="E147" s="385" t="s">
        <v>378</v>
      </c>
      <c r="F147" s="432">
        <v>5667.15</v>
      </c>
      <c r="G147" s="406">
        <v>65.2</v>
      </c>
      <c r="H147" s="382">
        <f t="shared" si="12"/>
        <v>81.454360000000008</v>
      </c>
      <c r="I147" s="383">
        <f>ROUND(H147*F147,2)</f>
        <v>461614.08000000002</v>
      </c>
    </row>
    <row r="148" spans="1:12" ht="28.5" x14ac:dyDescent="0.2">
      <c r="A148" s="579" t="s">
        <v>594</v>
      </c>
      <c r="B148" s="619" t="s">
        <v>320</v>
      </c>
      <c r="C148" s="620">
        <v>9180</v>
      </c>
      <c r="D148" s="701" t="s">
        <v>595</v>
      </c>
      <c r="E148" s="571" t="s">
        <v>378</v>
      </c>
      <c r="F148" s="622">
        <v>5852.43</v>
      </c>
      <c r="G148" s="623">
        <v>195.16</v>
      </c>
      <c r="H148" s="382">
        <f t="shared" si="12"/>
        <v>243.813388</v>
      </c>
      <c r="I148" s="383">
        <f t="shared" ref="I148:I155" si="15">ROUND(H148*F148,2)</f>
        <v>1426900.79</v>
      </c>
    </row>
    <row r="149" spans="1:12" x14ac:dyDescent="0.25">
      <c r="A149" s="579" t="s">
        <v>596</v>
      </c>
      <c r="B149" s="624" t="s">
        <v>315</v>
      </c>
      <c r="C149" s="593">
        <v>94228</v>
      </c>
      <c r="D149" s="452" t="s">
        <v>597</v>
      </c>
      <c r="E149" s="405" t="s">
        <v>374</v>
      </c>
      <c r="F149" s="432">
        <v>683.17</v>
      </c>
      <c r="G149" s="454">
        <v>38.58</v>
      </c>
      <c r="H149" s="382">
        <f t="shared" si="12"/>
        <v>48.197993999999994</v>
      </c>
      <c r="I149" s="383">
        <f t="shared" si="15"/>
        <v>32927.42</v>
      </c>
    </row>
    <row r="150" spans="1:12" x14ac:dyDescent="0.25">
      <c r="A150" s="579" t="s">
        <v>598</v>
      </c>
      <c r="B150" s="624" t="s">
        <v>315</v>
      </c>
      <c r="C150" s="593">
        <v>94231</v>
      </c>
      <c r="D150" s="452" t="s">
        <v>599</v>
      </c>
      <c r="E150" s="407" t="s">
        <v>374</v>
      </c>
      <c r="F150" s="432">
        <v>463.43</v>
      </c>
      <c r="G150" s="454">
        <v>18.28</v>
      </c>
      <c r="H150" s="382">
        <f t="shared" si="12"/>
        <v>22.837204</v>
      </c>
      <c r="I150" s="383">
        <f t="shared" si="15"/>
        <v>10583.45</v>
      </c>
    </row>
    <row r="151" spans="1:12" x14ac:dyDescent="0.25">
      <c r="A151" s="579" t="s">
        <v>600</v>
      </c>
      <c r="B151" s="624" t="s">
        <v>601</v>
      </c>
      <c r="C151" s="593" t="s">
        <v>602</v>
      </c>
      <c r="D151" s="416" t="s">
        <v>603</v>
      </c>
      <c r="E151" s="385" t="s">
        <v>374</v>
      </c>
      <c r="F151" s="457">
        <v>310.38</v>
      </c>
      <c r="G151" s="454">
        <v>54.87</v>
      </c>
      <c r="H151" s="382">
        <f t="shared" si="12"/>
        <v>68.549091000000004</v>
      </c>
      <c r="I151" s="383">
        <f t="shared" si="15"/>
        <v>21276.27</v>
      </c>
    </row>
    <row r="152" spans="1:12" x14ac:dyDescent="0.25">
      <c r="A152" s="579" t="s">
        <v>604</v>
      </c>
      <c r="B152" s="624" t="s">
        <v>601</v>
      </c>
      <c r="C152" s="593" t="s">
        <v>605</v>
      </c>
      <c r="D152" s="408" t="s">
        <v>606</v>
      </c>
      <c r="E152" s="398" t="s">
        <v>378</v>
      </c>
      <c r="F152" s="457">
        <v>473.7</v>
      </c>
      <c r="G152" s="452">
        <v>29.85</v>
      </c>
      <c r="H152" s="382">
        <f t="shared" si="12"/>
        <v>37.291605000000004</v>
      </c>
      <c r="I152" s="383">
        <f t="shared" si="15"/>
        <v>17665.03</v>
      </c>
      <c r="J152" s="641"/>
      <c r="K152" s="642"/>
      <c r="L152" s="643"/>
    </row>
    <row r="153" spans="1:12" ht="28.5" x14ac:dyDescent="0.25">
      <c r="A153" s="579" t="s">
        <v>607</v>
      </c>
      <c r="B153" s="624" t="s">
        <v>601</v>
      </c>
      <c r="C153" s="593">
        <v>3736</v>
      </c>
      <c r="D153" s="452" t="s">
        <v>608</v>
      </c>
      <c r="E153" s="385" t="s">
        <v>378</v>
      </c>
      <c r="F153" s="432">
        <v>488.48</v>
      </c>
      <c r="G153" s="454">
        <v>81.319999999999993</v>
      </c>
      <c r="H153" s="382">
        <f t="shared" si="12"/>
        <v>101.593076</v>
      </c>
      <c r="I153" s="383">
        <f t="shared" si="15"/>
        <v>49626.19</v>
      </c>
    </row>
    <row r="154" spans="1:12" x14ac:dyDescent="0.25">
      <c r="A154" s="579" t="s">
        <v>609</v>
      </c>
      <c r="B154" s="624" t="s">
        <v>315</v>
      </c>
      <c r="C154" s="593">
        <v>83740</v>
      </c>
      <c r="D154" s="416" t="s">
        <v>610</v>
      </c>
      <c r="E154" s="385" t="s">
        <v>378</v>
      </c>
      <c r="F154" s="432">
        <v>825.53</v>
      </c>
      <c r="G154" s="454">
        <v>32.119999999999997</v>
      </c>
      <c r="H154" s="382">
        <f t="shared" si="12"/>
        <v>40.127516</v>
      </c>
      <c r="I154" s="383">
        <f t="shared" si="15"/>
        <v>33126.47</v>
      </c>
    </row>
    <row r="155" spans="1:12" ht="28.5" x14ac:dyDescent="0.25">
      <c r="A155" s="579" t="s">
        <v>611</v>
      </c>
      <c r="B155" s="624" t="s">
        <v>315</v>
      </c>
      <c r="C155" s="593" t="s">
        <v>612</v>
      </c>
      <c r="D155" s="452" t="s">
        <v>613</v>
      </c>
      <c r="E155" s="385" t="s">
        <v>378</v>
      </c>
      <c r="F155" s="432">
        <v>1064.8399999999999</v>
      </c>
      <c r="G155" s="454">
        <v>56.81</v>
      </c>
      <c r="H155" s="382">
        <f t="shared" si="12"/>
        <v>70.972733000000005</v>
      </c>
      <c r="I155" s="383">
        <f t="shared" si="15"/>
        <v>75574.61</v>
      </c>
    </row>
    <row r="156" spans="1:12" x14ac:dyDescent="0.25">
      <c r="A156" s="580" t="s">
        <v>614</v>
      </c>
      <c r="B156" s="624"/>
      <c r="C156" s="593"/>
      <c r="D156" s="453" t="s">
        <v>615</v>
      </c>
      <c r="E156" s="385"/>
      <c r="F156" s="432"/>
      <c r="G156" s="454"/>
      <c r="H156" s="382"/>
      <c r="I156" s="383"/>
    </row>
    <row r="157" spans="1:12" x14ac:dyDescent="0.25">
      <c r="A157" s="579" t="s">
        <v>616</v>
      </c>
      <c r="B157" s="624" t="s">
        <v>315</v>
      </c>
      <c r="C157" s="593">
        <v>72111</v>
      </c>
      <c r="D157" s="452" t="s">
        <v>593</v>
      </c>
      <c r="E157" s="385" t="s">
        <v>378</v>
      </c>
      <c r="F157" s="432">
        <v>830.62</v>
      </c>
      <c r="G157" s="406">
        <v>65.2</v>
      </c>
      <c r="H157" s="382">
        <f t="shared" ref="H157:H219" si="16">G157+(G157*$H$14)</f>
        <v>81.454360000000008</v>
      </c>
      <c r="I157" s="383">
        <f>ROUND(H157*F157,2)</f>
        <v>67657.62</v>
      </c>
    </row>
    <row r="158" spans="1:12" ht="28.5" x14ac:dyDescent="0.2">
      <c r="A158" s="579" t="s">
        <v>617</v>
      </c>
      <c r="B158" s="619" t="s">
        <v>320</v>
      </c>
      <c r="C158" s="620">
        <v>9180</v>
      </c>
      <c r="D158" s="701" t="s">
        <v>595</v>
      </c>
      <c r="E158" s="571" t="s">
        <v>378</v>
      </c>
      <c r="F158" s="622">
        <v>770.63</v>
      </c>
      <c r="G158" s="623">
        <v>195.16</v>
      </c>
      <c r="H158" s="382">
        <f t="shared" si="16"/>
        <v>243.813388</v>
      </c>
      <c r="I158" s="383">
        <f>ROUND(H158*F158,2)</f>
        <v>187889.91</v>
      </c>
    </row>
    <row r="159" spans="1:12" x14ac:dyDescent="0.25">
      <c r="A159" s="579" t="s">
        <v>618</v>
      </c>
      <c r="B159" s="624" t="s">
        <v>315</v>
      </c>
      <c r="C159" s="593">
        <v>94228</v>
      </c>
      <c r="D159" s="452" t="s">
        <v>619</v>
      </c>
      <c r="E159" s="385" t="s">
        <v>374</v>
      </c>
      <c r="F159" s="454">
        <v>107.83</v>
      </c>
      <c r="G159" s="454">
        <v>38.58</v>
      </c>
      <c r="H159" s="382">
        <f t="shared" si="16"/>
        <v>48.197993999999994</v>
      </c>
      <c r="I159" s="383">
        <f>ROUND(H159*F159,2)</f>
        <v>5197.1899999999996</v>
      </c>
    </row>
    <row r="160" spans="1:12" x14ac:dyDescent="0.25">
      <c r="A160" s="579" t="s">
        <v>620</v>
      </c>
      <c r="B160" s="624" t="s">
        <v>315</v>
      </c>
      <c r="C160" s="593">
        <v>94231</v>
      </c>
      <c r="D160" s="452" t="s">
        <v>599</v>
      </c>
      <c r="E160" s="385" t="s">
        <v>374</v>
      </c>
      <c r="F160" s="454">
        <v>260.63</v>
      </c>
      <c r="G160" s="454">
        <v>18.28</v>
      </c>
      <c r="H160" s="382">
        <f t="shared" si="16"/>
        <v>22.837204</v>
      </c>
      <c r="I160" s="383">
        <f>ROUND(H160*F160,2)</f>
        <v>5952.06</v>
      </c>
    </row>
    <row r="161" spans="1:14" ht="28.5" x14ac:dyDescent="0.25">
      <c r="A161" s="579" t="s">
        <v>621</v>
      </c>
      <c r="B161" s="624" t="s">
        <v>315</v>
      </c>
      <c r="C161" s="593">
        <v>716623</v>
      </c>
      <c r="D161" s="452" t="s">
        <v>622</v>
      </c>
      <c r="E161" s="385" t="s">
        <v>374</v>
      </c>
      <c r="F161" s="454">
        <v>101</v>
      </c>
      <c r="G161" s="406">
        <v>23.67</v>
      </c>
      <c r="H161" s="382">
        <f t="shared" si="16"/>
        <v>29.570931000000002</v>
      </c>
      <c r="I161" s="383">
        <f>ROUND(H161*F161,2)</f>
        <v>2986.66</v>
      </c>
    </row>
    <row r="162" spans="1:14" x14ac:dyDescent="0.25">
      <c r="A162" s="580" t="s">
        <v>623</v>
      </c>
      <c r="B162" s="624"/>
      <c r="C162" s="593"/>
      <c r="D162" s="453" t="s">
        <v>624</v>
      </c>
      <c r="E162" s="385"/>
      <c r="F162" s="454"/>
      <c r="G162" s="454"/>
      <c r="H162" s="382"/>
      <c r="I162" s="383"/>
    </row>
    <row r="163" spans="1:14" x14ac:dyDescent="0.25">
      <c r="A163" s="579" t="s">
        <v>625</v>
      </c>
      <c r="B163" s="624" t="s">
        <v>315</v>
      </c>
      <c r="C163" s="593">
        <v>72111</v>
      </c>
      <c r="D163" s="452" t="s">
        <v>593</v>
      </c>
      <c r="E163" s="385" t="s">
        <v>378</v>
      </c>
      <c r="F163" s="454">
        <v>357.57</v>
      </c>
      <c r="G163" s="454">
        <v>65.2</v>
      </c>
      <c r="H163" s="382">
        <f t="shared" si="16"/>
        <v>81.454360000000008</v>
      </c>
      <c r="I163" s="383">
        <f t="shared" ref="I163:I174" si="17">ROUND(H163*F163,2)</f>
        <v>29125.64</v>
      </c>
    </row>
    <row r="164" spans="1:14" ht="28.5" x14ac:dyDescent="0.2">
      <c r="A164" s="579" t="s">
        <v>626</v>
      </c>
      <c r="B164" s="619" t="s">
        <v>320</v>
      </c>
      <c r="C164" s="620">
        <v>9180</v>
      </c>
      <c r="D164" s="701" t="s">
        <v>595</v>
      </c>
      <c r="E164" s="571" t="s">
        <v>378</v>
      </c>
      <c r="F164" s="622">
        <v>223.55</v>
      </c>
      <c r="G164" s="623">
        <v>195.16</v>
      </c>
      <c r="H164" s="382">
        <f t="shared" si="16"/>
        <v>243.813388</v>
      </c>
      <c r="I164" s="383">
        <f t="shared" si="17"/>
        <v>54504.480000000003</v>
      </c>
    </row>
    <row r="165" spans="1:14" x14ac:dyDescent="0.25">
      <c r="A165" s="579" t="s">
        <v>627</v>
      </c>
      <c r="B165" s="624" t="s">
        <v>315</v>
      </c>
      <c r="C165" s="593">
        <v>94228</v>
      </c>
      <c r="D165" s="452" t="s">
        <v>597</v>
      </c>
      <c r="E165" s="385" t="s">
        <v>374</v>
      </c>
      <c r="F165" s="454">
        <v>40.25</v>
      </c>
      <c r="G165" s="454">
        <v>38.58</v>
      </c>
      <c r="H165" s="382">
        <f t="shared" si="16"/>
        <v>48.197993999999994</v>
      </c>
      <c r="I165" s="383">
        <f t="shared" si="17"/>
        <v>1939.97</v>
      </c>
    </row>
    <row r="166" spans="1:14" x14ac:dyDescent="0.25">
      <c r="A166" s="579" t="s">
        <v>628</v>
      </c>
      <c r="B166" s="624" t="s">
        <v>315</v>
      </c>
      <c r="C166" s="593">
        <v>94231</v>
      </c>
      <c r="D166" s="452" t="s">
        <v>599</v>
      </c>
      <c r="E166" s="385" t="s">
        <v>374</v>
      </c>
      <c r="F166" s="454">
        <v>82.63</v>
      </c>
      <c r="G166" s="454">
        <v>18.28</v>
      </c>
      <c r="H166" s="382">
        <f t="shared" si="16"/>
        <v>22.837204</v>
      </c>
      <c r="I166" s="383">
        <f t="shared" si="17"/>
        <v>1887.04</v>
      </c>
    </row>
    <row r="167" spans="1:14" x14ac:dyDescent="0.25">
      <c r="A167" s="579" t="s">
        <v>629</v>
      </c>
      <c r="B167" s="624" t="s">
        <v>601</v>
      </c>
      <c r="C167" s="593" t="s">
        <v>630</v>
      </c>
      <c r="D167" s="452" t="s">
        <v>631</v>
      </c>
      <c r="E167" s="385" t="s">
        <v>378</v>
      </c>
      <c r="F167" s="454">
        <v>175.95</v>
      </c>
      <c r="G167" s="406">
        <v>435.46</v>
      </c>
      <c r="H167" s="382">
        <f t="shared" si="16"/>
        <v>544.02017799999999</v>
      </c>
      <c r="I167" s="383">
        <f t="shared" si="17"/>
        <v>95720.35</v>
      </c>
    </row>
    <row r="168" spans="1:14" x14ac:dyDescent="0.25">
      <c r="A168" s="579" t="s">
        <v>632</v>
      </c>
      <c r="B168" s="624" t="s">
        <v>601</v>
      </c>
      <c r="C168" s="593" t="s">
        <v>2319</v>
      </c>
      <c r="D168" s="452" t="s">
        <v>633</v>
      </c>
      <c r="E168" s="385" t="s">
        <v>378</v>
      </c>
      <c r="F168" s="454">
        <v>45.2</v>
      </c>
      <c r="G168" s="406">
        <v>46.3</v>
      </c>
      <c r="H168" s="382">
        <f t="shared" si="16"/>
        <v>57.842589999999994</v>
      </c>
      <c r="I168" s="383">
        <f t="shared" si="17"/>
        <v>2614.4899999999998</v>
      </c>
    </row>
    <row r="169" spans="1:14" x14ac:dyDescent="0.25">
      <c r="A169" s="579" t="s">
        <v>634</v>
      </c>
      <c r="B169" s="624" t="s">
        <v>601</v>
      </c>
      <c r="C169" s="594" t="s">
        <v>602</v>
      </c>
      <c r="D169" s="416" t="s">
        <v>603</v>
      </c>
      <c r="E169" s="385" t="s">
        <v>374</v>
      </c>
      <c r="F169" s="454">
        <v>3.25</v>
      </c>
      <c r="G169" s="454">
        <v>54.87</v>
      </c>
      <c r="H169" s="382">
        <f t="shared" si="16"/>
        <v>68.549091000000004</v>
      </c>
      <c r="I169" s="383">
        <f t="shared" si="17"/>
        <v>222.78</v>
      </c>
    </row>
    <row r="170" spans="1:14" ht="28.5" x14ac:dyDescent="0.25">
      <c r="A170" s="579" t="s">
        <v>635</v>
      </c>
      <c r="B170" s="624" t="s">
        <v>601</v>
      </c>
      <c r="C170" s="593" t="s">
        <v>630</v>
      </c>
      <c r="D170" s="452" t="s">
        <v>636</v>
      </c>
      <c r="E170" s="385" t="s">
        <v>378</v>
      </c>
      <c r="F170" s="454">
        <v>118.72</v>
      </c>
      <c r="G170" s="406">
        <v>435.46</v>
      </c>
      <c r="H170" s="382">
        <f t="shared" si="16"/>
        <v>544.02017799999999</v>
      </c>
      <c r="I170" s="383">
        <f t="shared" si="17"/>
        <v>64586.080000000002</v>
      </c>
      <c r="L170" s="640"/>
    </row>
    <row r="171" spans="1:14" x14ac:dyDescent="0.25">
      <c r="A171" s="579" t="s">
        <v>637</v>
      </c>
      <c r="B171" s="624" t="s">
        <v>601</v>
      </c>
      <c r="C171" s="593" t="s">
        <v>638</v>
      </c>
      <c r="D171" s="416" t="s">
        <v>639</v>
      </c>
      <c r="E171" s="385" t="s">
        <v>374</v>
      </c>
      <c r="F171" s="454">
        <v>18</v>
      </c>
      <c r="G171" s="406">
        <v>37.869999999999997</v>
      </c>
      <c r="H171" s="382">
        <f t="shared" si="16"/>
        <v>47.310990999999994</v>
      </c>
      <c r="I171" s="383">
        <f t="shared" si="17"/>
        <v>851.6</v>
      </c>
      <c r="L171" s="381"/>
    </row>
    <row r="172" spans="1:14" x14ac:dyDescent="0.25">
      <c r="A172" s="579"/>
      <c r="B172" s="624"/>
      <c r="C172" s="593"/>
      <c r="D172" s="416"/>
      <c r="E172" s="385"/>
      <c r="F172" s="454"/>
      <c r="G172" s="406"/>
      <c r="H172" s="382"/>
      <c r="I172" s="383"/>
      <c r="L172" s="381"/>
    </row>
    <row r="173" spans="1:14" x14ac:dyDescent="0.25">
      <c r="A173" s="577" t="s">
        <v>640</v>
      </c>
      <c r="B173" s="604"/>
      <c r="C173" s="588"/>
      <c r="D173" s="446" t="s">
        <v>641</v>
      </c>
      <c r="E173" s="447"/>
      <c r="F173" s="448"/>
      <c r="G173" s="448"/>
      <c r="H173" s="448"/>
      <c r="I173" s="449">
        <f>SUM(I174:I174)</f>
        <v>207718.18</v>
      </c>
    </row>
    <row r="174" spans="1:14" x14ac:dyDescent="0.25">
      <c r="A174" s="581" t="s">
        <v>642</v>
      </c>
      <c r="B174" s="605" t="s">
        <v>315</v>
      </c>
      <c r="C174" s="589">
        <v>83737</v>
      </c>
      <c r="D174" s="455" t="s">
        <v>643</v>
      </c>
      <c r="E174" s="384" t="s">
        <v>378</v>
      </c>
      <c r="F174" s="409">
        <f>316.46+343.85+52.53+668.1+359.12+407.91+452.4</f>
        <v>2600.37</v>
      </c>
      <c r="G174" s="392">
        <v>63.94</v>
      </c>
      <c r="H174" s="382">
        <f t="shared" si="16"/>
        <v>79.880241999999996</v>
      </c>
      <c r="I174" s="383">
        <f t="shared" si="17"/>
        <v>207718.18</v>
      </c>
      <c r="J174" s="372"/>
    </row>
    <row r="175" spans="1:14" x14ac:dyDescent="0.25">
      <c r="A175" s="582"/>
      <c r="B175" s="605"/>
      <c r="C175" s="589"/>
      <c r="D175" s="455"/>
      <c r="E175" s="384"/>
      <c r="F175" s="392"/>
      <c r="G175" s="392"/>
      <c r="H175" s="382"/>
      <c r="I175" s="383"/>
      <c r="J175" s="372"/>
      <c r="N175" s="610"/>
    </row>
    <row r="176" spans="1:14" x14ac:dyDescent="0.25">
      <c r="A176" s="577" t="s">
        <v>644</v>
      </c>
      <c r="B176" s="604"/>
      <c r="C176" s="588"/>
      <c r="D176" s="446" t="s">
        <v>645</v>
      </c>
      <c r="E176" s="447"/>
      <c r="F176" s="448"/>
      <c r="G176" s="448"/>
      <c r="H176" s="448"/>
      <c r="I176" s="449">
        <f>SUM(I178:I240)</f>
        <v>2163664.85</v>
      </c>
      <c r="N176" s="371"/>
    </row>
    <row r="177" spans="1:9" x14ac:dyDescent="0.25">
      <c r="A177" s="580" t="s">
        <v>646</v>
      </c>
      <c r="B177" s="608"/>
      <c r="C177" s="593"/>
      <c r="D177" s="410" t="s">
        <v>647</v>
      </c>
      <c r="E177" s="385"/>
      <c r="F177" s="454"/>
      <c r="G177" s="454"/>
      <c r="H177" s="382"/>
      <c r="I177" s="383"/>
    </row>
    <row r="178" spans="1:9" ht="28.5" x14ac:dyDescent="0.25">
      <c r="A178" s="579" t="s">
        <v>648</v>
      </c>
      <c r="B178" s="608" t="s">
        <v>315</v>
      </c>
      <c r="C178" s="594">
        <v>91009</v>
      </c>
      <c r="D178" s="408" t="s">
        <v>649</v>
      </c>
      <c r="E178" s="385" t="s">
        <v>650</v>
      </c>
      <c r="F178" s="454">
        <v>23</v>
      </c>
      <c r="G178" s="454">
        <v>195.37</v>
      </c>
      <c r="H178" s="382">
        <f t="shared" si="16"/>
        <v>244.07574099999999</v>
      </c>
      <c r="I178" s="383">
        <f t="shared" ref="I178:I194" si="18">ROUND(H178*F178,2)</f>
        <v>5613.74</v>
      </c>
    </row>
    <row r="179" spans="1:9" ht="42.75" x14ac:dyDescent="0.25">
      <c r="A179" s="579" t="s">
        <v>651</v>
      </c>
      <c r="B179" s="608" t="s">
        <v>315</v>
      </c>
      <c r="C179" s="594">
        <v>90844</v>
      </c>
      <c r="D179" s="408" t="s">
        <v>652</v>
      </c>
      <c r="E179" s="385" t="s">
        <v>650</v>
      </c>
      <c r="F179" s="454">
        <v>200</v>
      </c>
      <c r="G179" s="454">
        <v>528.21</v>
      </c>
      <c r="H179" s="382">
        <f t="shared" si="16"/>
        <v>659.89275300000008</v>
      </c>
      <c r="I179" s="383">
        <f t="shared" si="18"/>
        <v>131978.54999999999</v>
      </c>
    </row>
    <row r="180" spans="1:9" ht="42.75" x14ac:dyDescent="0.25">
      <c r="A180" s="579" t="s">
        <v>653</v>
      </c>
      <c r="B180" s="608" t="s">
        <v>315</v>
      </c>
      <c r="C180" s="594">
        <v>90843</v>
      </c>
      <c r="D180" s="408" t="s">
        <v>654</v>
      </c>
      <c r="E180" s="385" t="s">
        <v>650</v>
      </c>
      <c r="F180" s="454">
        <v>26</v>
      </c>
      <c r="G180" s="454">
        <v>502.1</v>
      </c>
      <c r="H180" s="382">
        <f t="shared" si="16"/>
        <v>627.27353000000005</v>
      </c>
      <c r="I180" s="383">
        <f t="shared" si="18"/>
        <v>16309.11</v>
      </c>
    </row>
    <row r="181" spans="1:9" ht="42.75" x14ac:dyDescent="0.25">
      <c r="A181" s="579" t="s">
        <v>655</v>
      </c>
      <c r="B181" s="608" t="s">
        <v>315</v>
      </c>
      <c r="C181" s="594">
        <v>90842</v>
      </c>
      <c r="D181" s="408" t="s">
        <v>656</v>
      </c>
      <c r="E181" s="385" t="s">
        <v>650</v>
      </c>
      <c r="F181" s="454">
        <v>8</v>
      </c>
      <c r="G181" s="454">
        <v>475.35</v>
      </c>
      <c r="H181" s="382">
        <f t="shared" si="16"/>
        <v>593.85475500000007</v>
      </c>
      <c r="I181" s="383">
        <f t="shared" si="18"/>
        <v>4750.84</v>
      </c>
    </row>
    <row r="182" spans="1:9" ht="42.75" x14ac:dyDescent="0.25">
      <c r="A182" s="579" t="s">
        <v>657</v>
      </c>
      <c r="B182" s="608" t="s">
        <v>315</v>
      </c>
      <c r="C182" s="594">
        <v>90841</v>
      </c>
      <c r="D182" s="408" t="s">
        <v>658</v>
      </c>
      <c r="E182" s="385" t="s">
        <v>650</v>
      </c>
      <c r="F182" s="454">
        <v>1</v>
      </c>
      <c r="G182" s="454">
        <v>454.18</v>
      </c>
      <c r="H182" s="382">
        <f t="shared" si="16"/>
        <v>567.40707399999997</v>
      </c>
      <c r="I182" s="383">
        <f t="shared" si="18"/>
        <v>567.41</v>
      </c>
    </row>
    <row r="183" spans="1:9" ht="28.5" x14ac:dyDescent="0.25">
      <c r="A183" s="579" t="s">
        <v>659</v>
      </c>
      <c r="B183" s="624" t="s">
        <v>320</v>
      </c>
      <c r="C183" s="594">
        <v>8170</v>
      </c>
      <c r="D183" s="408" t="s">
        <v>660</v>
      </c>
      <c r="E183" s="385" t="s">
        <v>650</v>
      </c>
      <c r="F183" s="454">
        <v>52</v>
      </c>
      <c r="G183" s="454">
        <v>1189.29</v>
      </c>
      <c r="H183" s="382">
        <f t="shared" ref="H183" si="19">G183+(G183*$H$14)</f>
        <v>1485.7799969999999</v>
      </c>
      <c r="I183" s="383">
        <f t="shared" ref="I183" si="20">ROUND(H183*F183,2)</f>
        <v>77260.56</v>
      </c>
    </row>
    <row r="184" spans="1:9" x14ac:dyDescent="0.25">
      <c r="A184" s="579" t="s">
        <v>661</v>
      </c>
      <c r="B184" s="608" t="s">
        <v>601</v>
      </c>
      <c r="C184" s="594" t="s">
        <v>662</v>
      </c>
      <c r="D184" s="408" t="s">
        <v>663</v>
      </c>
      <c r="E184" s="385" t="s">
        <v>378</v>
      </c>
      <c r="F184" s="454">
        <v>22.2</v>
      </c>
      <c r="G184" s="454">
        <v>108</v>
      </c>
      <c r="H184" s="382">
        <f t="shared" si="16"/>
        <v>134.92439999999999</v>
      </c>
      <c r="I184" s="383">
        <f t="shared" si="18"/>
        <v>2995.32</v>
      </c>
    </row>
    <row r="185" spans="1:9" ht="28.5" x14ac:dyDescent="0.25">
      <c r="A185" s="579" t="s">
        <v>664</v>
      </c>
      <c r="B185" s="608" t="s">
        <v>315</v>
      </c>
      <c r="C185" s="594" t="s">
        <v>665</v>
      </c>
      <c r="D185" s="408" t="s">
        <v>666</v>
      </c>
      <c r="E185" s="385" t="s">
        <v>667</v>
      </c>
      <c r="F185" s="454">
        <v>3</v>
      </c>
      <c r="G185" s="454">
        <v>409.52</v>
      </c>
      <c r="H185" s="382">
        <f t="shared" si="16"/>
        <v>511.613336</v>
      </c>
      <c r="I185" s="383">
        <f t="shared" si="18"/>
        <v>1534.84</v>
      </c>
    </row>
    <row r="186" spans="1:9" ht="28.5" x14ac:dyDescent="0.25">
      <c r="A186" s="579" t="s">
        <v>668</v>
      </c>
      <c r="B186" s="608" t="s">
        <v>320</v>
      </c>
      <c r="C186" s="594">
        <v>8837</v>
      </c>
      <c r="D186" s="408" t="s">
        <v>669</v>
      </c>
      <c r="E186" s="385" t="s">
        <v>667</v>
      </c>
      <c r="F186" s="454">
        <v>45</v>
      </c>
      <c r="G186" s="454">
        <v>596.98</v>
      </c>
      <c r="H186" s="382">
        <f t="shared" si="16"/>
        <v>745.80711399999996</v>
      </c>
      <c r="I186" s="383">
        <f t="shared" si="18"/>
        <v>33561.32</v>
      </c>
    </row>
    <row r="187" spans="1:9" ht="42.75" x14ac:dyDescent="0.25">
      <c r="A187" s="579" t="s">
        <v>670</v>
      </c>
      <c r="B187" s="608" t="s">
        <v>320</v>
      </c>
      <c r="C187" s="594">
        <v>9983</v>
      </c>
      <c r="D187" s="408" t="s">
        <v>671</v>
      </c>
      <c r="E187" s="385" t="s">
        <v>667</v>
      </c>
      <c r="F187" s="454">
        <v>70</v>
      </c>
      <c r="G187" s="454">
        <v>724.59</v>
      </c>
      <c r="H187" s="382">
        <f t="shared" si="16"/>
        <v>905.23028700000009</v>
      </c>
      <c r="I187" s="383">
        <f t="shared" si="18"/>
        <v>63366.12</v>
      </c>
    </row>
    <row r="188" spans="1:9" ht="28.5" x14ac:dyDescent="0.25">
      <c r="A188" s="579" t="s">
        <v>672</v>
      </c>
      <c r="B188" s="608" t="s">
        <v>315</v>
      </c>
      <c r="C188" s="594">
        <v>90823</v>
      </c>
      <c r="D188" s="411" t="s">
        <v>673</v>
      </c>
      <c r="E188" s="385" t="s">
        <v>378</v>
      </c>
      <c r="F188" s="454">
        <v>7.56</v>
      </c>
      <c r="G188" s="454">
        <v>182.35</v>
      </c>
      <c r="H188" s="382">
        <f t="shared" si="16"/>
        <v>227.809855</v>
      </c>
      <c r="I188" s="383">
        <f t="shared" si="18"/>
        <v>1722.24</v>
      </c>
    </row>
    <row r="189" spans="1:9" ht="28.5" x14ac:dyDescent="0.25">
      <c r="A189" s="579" t="s">
        <v>674</v>
      </c>
      <c r="B189" s="608" t="s">
        <v>315</v>
      </c>
      <c r="C189" s="594">
        <v>90830</v>
      </c>
      <c r="D189" s="408" t="s">
        <v>675</v>
      </c>
      <c r="E189" s="385" t="s">
        <v>676</v>
      </c>
      <c r="F189" s="454">
        <v>111</v>
      </c>
      <c r="G189" s="454">
        <v>67.25</v>
      </c>
      <c r="H189" s="382">
        <f t="shared" si="16"/>
        <v>84.015424999999993</v>
      </c>
      <c r="I189" s="383">
        <f t="shared" si="18"/>
        <v>9325.7099999999991</v>
      </c>
    </row>
    <row r="190" spans="1:9" x14ac:dyDescent="0.25">
      <c r="A190" s="579" t="s">
        <v>677</v>
      </c>
      <c r="B190" s="608" t="s">
        <v>601</v>
      </c>
      <c r="C190" s="594">
        <v>4553</v>
      </c>
      <c r="D190" s="408" t="s">
        <v>678</v>
      </c>
      <c r="E190" s="385" t="s">
        <v>676</v>
      </c>
      <c r="F190" s="454">
        <v>23</v>
      </c>
      <c r="G190" s="454">
        <v>56.41</v>
      </c>
      <c r="H190" s="382">
        <f t="shared" si="16"/>
        <v>70.473012999999995</v>
      </c>
      <c r="I190" s="383">
        <f t="shared" si="18"/>
        <v>1620.88</v>
      </c>
    </row>
    <row r="191" spans="1:9" x14ac:dyDescent="0.25">
      <c r="A191" s="579" t="s">
        <v>679</v>
      </c>
      <c r="B191" s="608" t="s">
        <v>320</v>
      </c>
      <c r="C191" s="594">
        <v>1803</v>
      </c>
      <c r="D191" s="408" t="s">
        <v>680</v>
      </c>
      <c r="E191" s="385" t="s">
        <v>681</v>
      </c>
      <c r="F191" s="454">
        <v>406</v>
      </c>
      <c r="G191" s="454">
        <v>52.81</v>
      </c>
      <c r="H191" s="382">
        <f t="shared" si="16"/>
        <v>65.975532999999999</v>
      </c>
      <c r="I191" s="383">
        <f t="shared" si="18"/>
        <v>26786.07</v>
      </c>
    </row>
    <row r="192" spans="1:9" x14ac:dyDescent="0.25">
      <c r="A192" s="579" t="s">
        <v>682</v>
      </c>
      <c r="B192" s="608" t="s">
        <v>315</v>
      </c>
      <c r="C192" s="594" t="s">
        <v>683</v>
      </c>
      <c r="D192" s="408" t="s">
        <v>684</v>
      </c>
      <c r="E192" s="385" t="s">
        <v>676</v>
      </c>
      <c r="F192" s="454">
        <v>208</v>
      </c>
      <c r="G192" s="454">
        <v>58.53</v>
      </c>
      <c r="H192" s="382">
        <f t="shared" si="16"/>
        <v>73.121528999999995</v>
      </c>
      <c r="I192" s="383">
        <f t="shared" si="18"/>
        <v>15209.28</v>
      </c>
    </row>
    <row r="193" spans="1:9" ht="28.5" x14ac:dyDescent="0.25">
      <c r="A193" s="579" t="s">
        <v>685</v>
      </c>
      <c r="B193" s="608" t="s">
        <v>315</v>
      </c>
      <c r="C193" s="594">
        <v>72200</v>
      </c>
      <c r="D193" s="408" t="s">
        <v>686</v>
      </c>
      <c r="E193" s="385" t="s">
        <v>378</v>
      </c>
      <c r="F193" s="454">
        <f>1767.38</f>
        <v>1767.38</v>
      </c>
      <c r="G193" s="454">
        <v>71.62</v>
      </c>
      <c r="H193" s="382">
        <f t="shared" si="16"/>
        <v>89.474866000000006</v>
      </c>
      <c r="I193" s="383">
        <f t="shared" si="18"/>
        <v>158136.09</v>
      </c>
    </row>
    <row r="194" spans="1:9" x14ac:dyDescent="0.25">
      <c r="A194" s="579" t="s">
        <v>687</v>
      </c>
      <c r="B194" s="608" t="s">
        <v>315</v>
      </c>
      <c r="C194" s="594">
        <v>72185</v>
      </c>
      <c r="D194" s="408" t="s">
        <v>688</v>
      </c>
      <c r="E194" s="385" t="s">
        <v>378</v>
      </c>
      <c r="F194" s="454">
        <f>1767.38</f>
        <v>1767.38</v>
      </c>
      <c r="G194" s="454">
        <v>83.31</v>
      </c>
      <c r="H194" s="382">
        <f t="shared" si="16"/>
        <v>104.079183</v>
      </c>
      <c r="I194" s="383">
        <f t="shared" si="18"/>
        <v>183947.47</v>
      </c>
    </row>
    <row r="195" spans="1:9" x14ac:dyDescent="0.25">
      <c r="A195" s="580" t="s">
        <v>689</v>
      </c>
      <c r="B195" s="608"/>
      <c r="C195" s="593"/>
      <c r="D195" s="410" t="s">
        <v>690</v>
      </c>
      <c r="E195" s="385"/>
      <c r="F195" s="454"/>
      <c r="G195" s="454"/>
      <c r="H195" s="382">
        <f t="shared" si="16"/>
        <v>0</v>
      </c>
      <c r="I195" s="383"/>
    </row>
    <row r="196" spans="1:9" ht="28.5" x14ac:dyDescent="0.2">
      <c r="A196" s="579" t="s">
        <v>691</v>
      </c>
      <c r="B196" s="606" t="s">
        <v>315</v>
      </c>
      <c r="C196" s="590">
        <v>94569</v>
      </c>
      <c r="D196" s="547" t="s">
        <v>692</v>
      </c>
      <c r="E196" s="546" t="s">
        <v>378</v>
      </c>
      <c r="F196" s="395">
        <f>483.56+237.24+'[1]MEMORIA - 2º PAV'!$P$34</f>
        <v>869.83999999999992</v>
      </c>
      <c r="G196" s="396">
        <v>434.02</v>
      </c>
      <c r="H196" s="382">
        <f t="shared" si="16"/>
        <v>542.22118599999999</v>
      </c>
      <c r="I196" s="383">
        <f t="shared" ref="I196:I202" si="21">ROUND(H196*F196,2)</f>
        <v>471645.68</v>
      </c>
    </row>
    <row r="197" spans="1:9" ht="28.5" x14ac:dyDescent="0.2">
      <c r="A197" s="579" t="s">
        <v>693</v>
      </c>
      <c r="B197" s="606" t="s">
        <v>601</v>
      </c>
      <c r="C197" s="590" t="s">
        <v>694</v>
      </c>
      <c r="D197" s="547" t="s">
        <v>695</v>
      </c>
      <c r="E197" s="546" t="s">
        <v>378</v>
      </c>
      <c r="F197" s="395">
        <v>40.340000000000003</v>
      </c>
      <c r="G197" s="396">
        <v>373.93</v>
      </c>
      <c r="H197" s="382">
        <f t="shared" si="16"/>
        <v>467.15074900000002</v>
      </c>
      <c r="I197" s="383">
        <f t="shared" si="21"/>
        <v>18844.86</v>
      </c>
    </row>
    <row r="198" spans="1:9" x14ac:dyDescent="0.25">
      <c r="A198" s="579" t="s">
        <v>696</v>
      </c>
      <c r="B198" s="608" t="s">
        <v>601</v>
      </c>
      <c r="C198" s="594" t="s">
        <v>697</v>
      </c>
      <c r="D198" s="408" t="s">
        <v>698</v>
      </c>
      <c r="E198" s="385" t="s">
        <v>378</v>
      </c>
      <c r="F198" s="454">
        <f>F196</f>
        <v>869.83999999999992</v>
      </c>
      <c r="G198" s="412">
        <v>78.95</v>
      </c>
      <c r="H198" s="382">
        <f t="shared" si="16"/>
        <v>98.632235000000009</v>
      </c>
      <c r="I198" s="383">
        <f t="shared" si="21"/>
        <v>85794.26</v>
      </c>
    </row>
    <row r="199" spans="1:9" ht="33.75" customHeight="1" x14ac:dyDescent="0.25">
      <c r="A199" s="579" t="s">
        <v>699</v>
      </c>
      <c r="B199" s="608" t="s">
        <v>315</v>
      </c>
      <c r="C199" s="594">
        <v>72120</v>
      </c>
      <c r="D199" s="408" t="s">
        <v>700</v>
      </c>
      <c r="E199" s="385" t="s">
        <v>378</v>
      </c>
      <c r="F199" s="454">
        <v>10.7</v>
      </c>
      <c r="G199" s="412">
        <v>347.44</v>
      </c>
      <c r="H199" s="382">
        <f t="shared" si="16"/>
        <v>434.05679199999997</v>
      </c>
      <c r="I199" s="383">
        <f t="shared" si="21"/>
        <v>4644.41</v>
      </c>
    </row>
    <row r="200" spans="1:9" ht="28.5" x14ac:dyDescent="0.25">
      <c r="A200" s="579" t="s">
        <v>701</v>
      </c>
      <c r="B200" s="608" t="s">
        <v>315</v>
      </c>
      <c r="C200" s="594">
        <v>90830</v>
      </c>
      <c r="D200" s="408" t="s">
        <v>702</v>
      </c>
      <c r="E200" s="385" t="s">
        <v>676</v>
      </c>
      <c r="F200" s="454">
        <v>8</v>
      </c>
      <c r="G200" s="412">
        <v>67.25</v>
      </c>
      <c r="H200" s="382">
        <f t="shared" si="16"/>
        <v>84.015424999999993</v>
      </c>
      <c r="I200" s="383">
        <f t="shared" si="21"/>
        <v>672.12</v>
      </c>
    </row>
    <row r="201" spans="1:9" x14ac:dyDescent="0.25">
      <c r="A201" s="579" t="s">
        <v>703</v>
      </c>
      <c r="B201" s="608" t="s">
        <v>315</v>
      </c>
      <c r="C201" s="594">
        <v>84959</v>
      </c>
      <c r="D201" s="408" t="s">
        <v>704</v>
      </c>
      <c r="E201" s="385" t="s">
        <v>378</v>
      </c>
      <c r="F201" s="454">
        <f>483.56+237.24</f>
        <v>720.8</v>
      </c>
      <c r="G201" s="412">
        <v>159.88999999999999</v>
      </c>
      <c r="H201" s="382">
        <f t="shared" si="16"/>
        <v>199.75057699999996</v>
      </c>
      <c r="I201" s="383">
        <f t="shared" si="21"/>
        <v>143980.22</v>
      </c>
    </row>
    <row r="202" spans="1:9" x14ac:dyDescent="0.25">
      <c r="A202" s="579" t="s">
        <v>705</v>
      </c>
      <c r="B202" s="608" t="s">
        <v>315</v>
      </c>
      <c r="C202" s="594">
        <v>85014</v>
      </c>
      <c r="D202" s="408" t="s">
        <v>706</v>
      </c>
      <c r="E202" s="385" t="s">
        <v>378</v>
      </c>
      <c r="F202" s="454">
        <f>483.56+237.24</f>
        <v>720.8</v>
      </c>
      <c r="G202" s="412">
        <v>456.39</v>
      </c>
      <c r="H202" s="382">
        <f t="shared" si="16"/>
        <v>570.16802699999994</v>
      </c>
      <c r="I202" s="383">
        <f t="shared" si="21"/>
        <v>410977.11</v>
      </c>
    </row>
    <row r="203" spans="1:9" x14ac:dyDescent="0.25">
      <c r="A203" s="580" t="s">
        <v>707</v>
      </c>
      <c r="B203" s="608"/>
      <c r="C203" s="593"/>
      <c r="D203" s="410" t="s">
        <v>708</v>
      </c>
      <c r="E203" s="385"/>
      <c r="F203" s="454"/>
      <c r="G203" s="454"/>
      <c r="H203" s="382">
        <f t="shared" si="16"/>
        <v>0</v>
      </c>
      <c r="I203" s="383"/>
    </row>
    <row r="204" spans="1:9" x14ac:dyDescent="0.25">
      <c r="A204" s="579" t="s">
        <v>709</v>
      </c>
      <c r="B204" s="608" t="s">
        <v>315</v>
      </c>
      <c r="C204" s="594" t="s">
        <v>710</v>
      </c>
      <c r="D204" s="408" t="s">
        <v>711</v>
      </c>
      <c r="E204" s="385" t="s">
        <v>378</v>
      </c>
      <c r="F204" s="454">
        <f>18+45</f>
        <v>63</v>
      </c>
      <c r="G204" s="454">
        <v>415.55</v>
      </c>
      <c r="H204" s="382">
        <f t="shared" si="16"/>
        <v>519.146615</v>
      </c>
      <c r="I204" s="383">
        <f>ROUND(H204*F204,2)</f>
        <v>32706.240000000002</v>
      </c>
    </row>
    <row r="205" spans="1:9" x14ac:dyDescent="0.25">
      <c r="A205" s="579" t="s">
        <v>712</v>
      </c>
      <c r="B205" s="608" t="s">
        <v>315</v>
      </c>
      <c r="C205" s="594" t="s">
        <v>710</v>
      </c>
      <c r="D205" s="408" t="s">
        <v>713</v>
      </c>
      <c r="E205" s="385" t="s">
        <v>378</v>
      </c>
      <c r="F205" s="454">
        <v>1.47</v>
      </c>
      <c r="G205" s="454">
        <v>415.55</v>
      </c>
      <c r="H205" s="382">
        <f t="shared" si="16"/>
        <v>519.146615</v>
      </c>
      <c r="I205" s="383">
        <f t="shared" ref="I205:I226" si="22">ROUND(H205*F205,2)</f>
        <v>763.15</v>
      </c>
    </row>
    <row r="206" spans="1:9" x14ac:dyDescent="0.25">
      <c r="A206" s="579" t="s">
        <v>714</v>
      </c>
      <c r="B206" s="608" t="s">
        <v>315</v>
      </c>
      <c r="C206" s="594" t="s">
        <v>715</v>
      </c>
      <c r="D206" s="408" t="s">
        <v>716</v>
      </c>
      <c r="E206" s="385" t="s">
        <v>378</v>
      </c>
      <c r="F206" s="454">
        <v>12.24</v>
      </c>
      <c r="G206" s="454">
        <v>421.72</v>
      </c>
      <c r="H206" s="382">
        <f t="shared" si="16"/>
        <v>526.85479600000008</v>
      </c>
      <c r="I206" s="383">
        <f t="shared" si="22"/>
        <v>6448.7</v>
      </c>
    </row>
    <row r="207" spans="1:9" x14ac:dyDescent="0.25">
      <c r="A207" s="579" t="s">
        <v>717</v>
      </c>
      <c r="B207" s="608" t="s">
        <v>315</v>
      </c>
      <c r="C207" s="594" t="s">
        <v>715</v>
      </c>
      <c r="D207" s="408" t="s">
        <v>718</v>
      </c>
      <c r="E207" s="385" t="s">
        <v>378</v>
      </c>
      <c r="F207" s="454">
        <v>21.6</v>
      </c>
      <c r="G207" s="454">
        <v>421.72</v>
      </c>
      <c r="H207" s="382">
        <f t="shared" si="16"/>
        <v>526.85479600000008</v>
      </c>
      <c r="I207" s="383">
        <f t="shared" si="22"/>
        <v>11380.06</v>
      </c>
    </row>
    <row r="208" spans="1:9" x14ac:dyDescent="0.25">
      <c r="A208" s="579" t="s">
        <v>719</v>
      </c>
      <c r="B208" s="608" t="s">
        <v>315</v>
      </c>
      <c r="C208" s="594">
        <v>90838</v>
      </c>
      <c r="D208" s="408" t="s">
        <v>720</v>
      </c>
      <c r="E208" s="385" t="s">
        <v>721</v>
      </c>
      <c r="F208" s="454">
        <f>3+3</f>
        <v>6</v>
      </c>
      <c r="G208" s="454">
        <v>1234.43</v>
      </c>
      <c r="H208" s="382">
        <f t="shared" si="16"/>
        <v>1542.173399</v>
      </c>
      <c r="I208" s="383">
        <f t="shared" si="22"/>
        <v>9253.0400000000009</v>
      </c>
    </row>
    <row r="209" spans="1:9" x14ac:dyDescent="0.25">
      <c r="A209" s="579" t="s">
        <v>722</v>
      </c>
      <c r="B209" s="608" t="s">
        <v>601</v>
      </c>
      <c r="C209" s="594" t="s">
        <v>723</v>
      </c>
      <c r="D209" s="408" t="s">
        <v>724</v>
      </c>
      <c r="E209" s="385" t="s">
        <v>721</v>
      </c>
      <c r="F209" s="454">
        <f>2+1</f>
        <v>3</v>
      </c>
      <c r="G209" s="454">
        <v>1908.52</v>
      </c>
      <c r="H209" s="382">
        <f t="shared" si="16"/>
        <v>2384.3140359999998</v>
      </c>
      <c r="I209" s="383">
        <f t="shared" si="22"/>
        <v>7152.94</v>
      </c>
    </row>
    <row r="210" spans="1:9" ht="28.5" x14ac:dyDescent="0.25">
      <c r="A210" s="579" t="s">
        <v>725</v>
      </c>
      <c r="B210" s="608" t="s">
        <v>315</v>
      </c>
      <c r="C210" s="594" t="s">
        <v>726</v>
      </c>
      <c r="D210" s="408" t="s">
        <v>727</v>
      </c>
      <c r="E210" s="385" t="s">
        <v>378</v>
      </c>
      <c r="F210" s="454">
        <v>4.2</v>
      </c>
      <c r="G210" s="454">
        <v>397.9</v>
      </c>
      <c r="H210" s="382">
        <f t="shared" si="16"/>
        <v>497.09646999999995</v>
      </c>
      <c r="I210" s="383">
        <f t="shared" si="22"/>
        <v>2087.81</v>
      </c>
    </row>
    <row r="211" spans="1:9" ht="28.5" x14ac:dyDescent="0.25">
      <c r="A211" s="579" t="s">
        <v>728</v>
      </c>
      <c r="B211" s="608" t="s">
        <v>315</v>
      </c>
      <c r="C211" s="594" t="s">
        <v>726</v>
      </c>
      <c r="D211" s="408" t="s">
        <v>729</v>
      </c>
      <c r="E211" s="385" t="s">
        <v>378</v>
      </c>
      <c r="F211" s="454">
        <v>10.71</v>
      </c>
      <c r="G211" s="454">
        <v>397.9</v>
      </c>
      <c r="H211" s="382">
        <f t="shared" si="16"/>
        <v>497.09646999999995</v>
      </c>
      <c r="I211" s="383">
        <f t="shared" si="22"/>
        <v>5323.9</v>
      </c>
    </row>
    <row r="212" spans="1:9" ht="28.5" x14ac:dyDescent="0.25">
      <c r="A212" s="579" t="s">
        <v>730</v>
      </c>
      <c r="B212" s="608" t="s">
        <v>315</v>
      </c>
      <c r="C212" s="594" t="s">
        <v>726</v>
      </c>
      <c r="D212" s="408" t="s">
        <v>731</v>
      </c>
      <c r="E212" s="385" t="s">
        <v>390</v>
      </c>
      <c r="F212" s="454">
        <v>1.68</v>
      </c>
      <c r="G212" s="454">
        <v>397.9</v>
      </c>
      <c r="H212" s="382">
        <f t="shared" si="16"/>
        <v>497.09646999999995</v>
      </c>
      <c r="I212" s="383">
        <f t="shared" si="22"/>
        <v>835.12</v>
      </c>
    </row>
    <row r="213" spans="1:9" ht="28.5" x14ac:dyDescent="0.25">
      <c r="A213" s="579" t="s">
        <v>732</v>
      </c>
      <c r="B213" s="608" t="s">
        <v>315</v>
      </c>
      <c r="C213" s="594" t="s">
        <v>726</v>
      </c>
      <c r="D213" s="408" t="s">
        <v>733</v>
      </c>
      <c r="E213" s="385" t="s">
        <v>378</v>
      </c>
      <c r="F213" s="454">
        <v>10.08</v>
      </c>
      <c r="G213" s="454">
        <v>397.9</v>
      </c>
      <c r="H213" s="382">
        <f t="shared" si="16"/>
        <v>497.09646999999995</v>
      </c>
      <c r="I213" s="383">
        <f t="shared" si="22"/>
        <v>5010.7299999999996</v>
      </c>
    </row>
    <row r="214" spans="1:9" ht="28.5" x14ac:dyDescent="0.25">
      <c r="A214" s="579" t="s">
        <v>734</v>
      </c>
      <c r="B214" s="608" t="s">
        <v>315</v>
      </c>
      <c r="C214" s="594" t="s">
        <v>726</v>
      </c>
      <c r="D214" s="408" t="s">
        <v>735</v>
      </c>
      <c r="E214" s="385" t="s">
        <v>378</v>
      </c>
      <c r="F214" s="454">
        <v>3.68</v>
      </c>
      <c r="G214" s="454">
        <v>397.9</v>
      </c>
      <c r="H214" s="382">
        <f t="shared" si="16"/>
        <v>497.09646999999995</v>
      </c>
      <c r="I214" s="383">
        <f t="shared" si="22"/>
        <v>1829.32</v>
      </c>
    </row>
    <row r="215" spans="1:9" ht="28.5" x14ac:dyDescent="0.25">
      <c r="A215" s="579" t="s">
        <v>736</v>
      </c>
      <c r="B215" s="608" t="s">
        <v>315</v>
      </c>
      <c r="C215" s="594" t="s">
        <v>726</v>
      </c>
      <c r="D215" s="408" t="s">
        <v>737</v>
      </c>
      <c r="E215" s="385" t="s">
        <v>378</v>
      </c>
      <c r="F215" s="454">
        <v>25.2</v>
      </c>
      <c r="G215" s="454">
        <v>397.9</v>
      </c>
      <c r="H215" s="382">
        <f t="shared" si="16"/>
        <v>497.09646999999995</v>
      </c>
      <c r="I215" s="383">
        <f t="shared" si="22"/>
        <v>12526.83</v>
      </c>
    </row>
    <row r="216" spans="1:9" x14ac:dyDescent="0.25">
      <c r="A216" s="579" t="s">
        <v>738</v>
      </c>
      <c r="B216" s="608" t="s">
        <v>601</v>
      </c>
      <c r="C216" s="594" t="s">
        <v>697</v>
      </c>
      <c r="D216" s="408" t="s">
        <v>739</v>
      </c>
      <c r="E216" s="385" t="s">
        <v>378</v>
      </c>
      <c r="F216" s="454">
        <v>50.61</v>
      </c>
      <c r="G216" s="454">
        <v>78.95</v>
      </c>
      <c r="H216" s="382">
        <f t="shared" si="16"/>
        <v>98.632235000000009</v>
      </c>
      <c r="I216" s="383">
        <f t="shared" si="22"/>
        <v>4991.78</v>
      </c>
    </row>
    <row r="217" spans="1:9" ht="28.5" x14ac:dyDescent="0.25">
      <c r="A217" s="579" t="s">
        <v>740</v>
      </c>
      <c r="B217" s="608" t="s">
        <v>741</v>
      </c>
      <c r="C217" s="594">
        <v>1871</v>
      </c>
      <c r="D217" s="408" t="s">
        <v>742</v>
      </c>
      <c r="E217" s="385" t="s">
        <v>378</v>
      </c>
      <c r="F217" s="454">
        <v>15.4</v>
      </c>
      <c r="G217" s="454">
        <v>256.52</v>
      </c>
      <c r="H217" s="382">
        <f t="shared" si="16"/>
        <v>320.47043599999995</v>
      </c>
      <c r="I217" s="383">
        <f t="shared" si="22"/>
        <v>4935.24</v>
      </c>
    </row>
    <row r="218" spans="1:9" ht="28.5" x14ac:dyDescent="0.25">
      <c r="A218" s="579" t="s">
        <v>743</v>
      </c>
      <c r="B218" s="608" t="s">
        <v>741</v>
      </c>
      <c r="C218" s="594">
        <v>1871</v>
      </c>
      <c r="D218" s="408" t="s">
        <v>744</v>
      </c>
      <c r="E218" s="385" t="s">
        <v>378</v>
      </c>
      <c r="F218" s="454">
        <v>70.38</v>
      </c>
      <c r="G218" s="454">
        <v>256.52</v>
      </c>
      <c r="H218" s="382">
        <f t="shared" si="16"/>
        <v>320.47043599999995</v>
      </c>
      <c r="I218" s="383">
        <f t="shared" si="22"/>
        <v>22554.71</v>
      </c>
    </row>
    <row r="219" spans="1:9" ht="28.5" x14ac:dyDescent="0.25">
      <c r="A219" s="579" t="s">
        <v>745</v>
      </c>
      <c r="B219" s="608" t="s">
        <v>601</v>
      </c>
      <c r="C219" s="594" t="s">
        <v>746</v>
      </c>
      <c r="D219" s="408" t="s">
        <v>747</v>
      </c>
      <c r="E219" s="385" t="s">
        <v>378</v>
      </c>
      <c r="F219" s="454">
        <v>34.5</v>
      </c>
      <c r="G219" s="454">
        <v>310.98</v>
      </c>
      <c r="H219" s="382">
        <f t="shared" si="16"/>
        <v>388.50731400000001</v>
      </c>
      <c r="I219" s="383">
        <f t="shared" si="22"/>
        <v>13403.5</v>
      </c>
    </row>
    <row r="220" spans="1:9" ht="28.5" x14ac:dyDescent="0.25">
      <c r="A220" s="579" t="s">
        <v>748</v>
      </c>
      <c r="B220" s="608" t="s">
        <v>601</v>
      </c>
      <c r="C220" s="594" t="s">
        <v>746</v>
      </c>
      <c r="D220" s="408" t="s">
        <v>749</v>
      </c>
      <c r="E220" s="385" t="s">
        <v>378</v>
      </c>
      <c r="F220" s="454">
        <v>18.399999999999999</v>
      </c>
      <c r="G220" s="454">
        <v>310.98</v>
      </c>
      <c r="H220" s="382">
        <f t="shared" ref="H220:H282" si="23">G220+(G220*$H$14)</f>
        <v>388.50731400000001</v>
      </c>
      <c r="I220" s="383">
        <f t="shared" si="22"/>
        <v>7148.53</v>
      </c>
    </row>
    <row r="221" spans="1:9" ht="28.5" x14ac:dyDescent="0.25">
      <c r="A221" s="579" t="s">
        <v>750</v>
      </c>
      <c r="B221" s="608" t="s">
        <v>601</v>
      </c>
      <c r="C221" s="594" t="s">
        <v>746</v>
      </c>
      <c r="D221" s="408" t="s">
        <v>751</v>
      </c>
      <c r="E221" s="385" t="s">
        <v>378</v>
      </c>
      <c r="F221" s="454">
        <v>7.36</v>
      </c>
      <c r="G221" s="454">
        <v>310.98</v>
      </c>
      <c r="H221" s="382">
        <f t="shared" si="23"/>
        <v>388.50731400000001</v>
      </c>
      <c r="I221" s="383">
        <f t="shared" si="22"/>
        <v>2859.41</v>
      </c>
    </row>
    <row r="222" spans="1:9" ht="28.5" x14ac:dyDescent="0.25">
      <c r="A222" s="579" t="s">
        <v>752</v>
      </c>
      <c r="B222" s="608" t="s">
        <v>601</v>
      </c>
      <c r="C222" s="594" t="s">
        <v>746</v>
      </c>
      <c r="D222" s="408" t="s">
        <v>753</v>
      </c>
      <c r="E222" s="385" t="s">
        <v>318</v>
      </c>
      <c r="F222" s="454">
        <v>2.2999999999999998</v>
      </c>
      <c r="G222" s="454">
        <v>310.98</v>
      </c>
      <c r="H222" s="382">
        <f t="shared" si="23"/>
        <v>388.50731400000001</v>
      </c>
      <c r="I222" s="383">
        <f t="shared" si="22"/>
        <v>893.57</v>
      </c>
    </row>
    <row r="223" spans="1:9" ht="28.5" x14ac:dyDescent="0.25">
      <c r="A223" s="579" t="s">
        <v>754</v>
      </c>
      <c r="B223" s="608" t="s">
        <v>741</v>
      </c>
      <c r="C223" s="594">
        <v>3958</v>
      </c>
      <c r="D223" s="408" t="s">
        <v>755</v>
      </c>
      <c r="E223" s="385" t="s">
        <v>378</v>
      </c>
      <c r="F223" s="454">
        <v>4.2</v>
      </c>
      <c r="G223" s="454">
        <v>147.21</v>
      </c>
      <c r="H223" s="382">
        <f t="shared" si="23"/>
        <v>183.90945300000001</v>
      </c>
      <c r="I223" s="383">
        <f t="shared" si="22"/>
        <v>772.42</v>
      </c>
    </row>
    <row r="224" spans="1:9" ht="28.5" x14ac:dyDescent="0.25">
      <c r="A224" s="579" t="s">
        <v>756</v>
      </c>
      <c r="B224" s="608" t="s">
        <v>741</v>
      </c>
      <c r="C224" s="594">
        <v>3958</v>
      </c>
      <c r="D224" s="408" t="s">
        <v>757</v>
      </c>
      <c r="E224" s="385" t="s">
        <v>378</v>
      </c>
      <c r="F224" s="454">
        <v>8.61</v>
      </c>
      <c r="G224" s="454">
        <v>147.21</v>
      </c>
      <c r="H224" s="382">
        <f t="shared" si="23"/>
        <v>183.90945300000001</v>
      </c>
      <c r="I224" s="383">
        <f t="shared" si="22"/>
        <v>1583.46</v>
      </c>
    </row>
    <row r="225" spans="1:9" x14ac:dyDescent="0.25">
      <c r="A225" s="579" t="s">
        <v>758</v>
      </c>
      <c r="B225" s="608" t="s">
        <v>315</v>
      </c>
      <c r="C225" s="594">
        <v>90830</v>
      </c>
      <c r="D225" s="408" t="s">
        <v>759</v>
      </c>
      <c r="E225" s="385" t="s">
        <v>676</v>
      </c>
      <c r="F225" s="454">
        <v>48</v>
      </c>
      <c r="G225" s="454">
        <v>67.25</v>
      </c>
      <c r="H225" s="382">
        <f t="shared" si="23"/>
        <v>84.015424999999993</v>
      </c>
      <c r="I225" s="383">
        <f t="shared" si="22"/>
        <v>4032.74</v>
      </c>
    </row>
    <row r="226" spans="1:9" ht="28.5" x14ac:dyDescent="0.25">
      <c r="A226" s="579" t="s">
        <v>760</v>
      </c>
      <c r="B226" s="608" t="s">
        <v>741</v>
      </c>
      <c r="C226" s="594">
        <v>4256</v>
      </c>
      <c r="D226" s="408" t="s">
        <v>761</v>
      </c>
      <c r="E226" s="385" t="s">
        <v>378</v>
      </c>
      <c r="F226" s="454">
        <v>63</v>
      </c>
      <c r="G226" s="454">
        <v>95.19</v>
      </c>
      <c r="H226" s="382">
        <f t="shared" si="23"/>
        <v>118.920867</v>
      </c>
      <c r="I226" s="383">
        <f t="shared" si="22"/>
        <v>7492.01</v>
      </c>
    </row>
    <row r="227" spans="1:9" x14ac:dyDescent="0.25">
      <c r="A227" s="580" t="s">
        <v>762</v>
      </c>
      <c r="B227" s="608"/>
      <c r="C227" s="593"/>
      <c r="D227" s="410" t="s">
        <v>763</v>
      </c>
      <c r="E227" s="385"/>
      <c r="F227" s="454"/>
      <c r="G227" s="454"/>
      <c r="H227" s="382">
        <f t="shared" si="23"/>
        <v>0</v>
      </c>
      <c r="I227" s="383"/>
    </row>
    <row r="228" spans="1:9" ht="28.5" x14ac:dyDescent="0.25">
      <c r="A228" s="579" t="s">
        <v>764</v>
      </c>
      <c r="B228" s="608" t="s">
        <v>315</v>
      </c>
      <c r="C228" s="594">
        <v>72119</v>
      </c>
      <c r="D228" s="408" t="s">
        <v>765</v>
      </c>
      <c r="E228" s="385" t="s">
        <v>378</v>
      </c>
      <c r="F228" s="454">
        <f>14</f>
        <v>14</v>
      </c>
      <c r="G228" s="413">
        <v>272.58</v>
      </c>
      <c r="H228" s="382">
        <f t="shared" si="23"/>
        <v>340.53419399999996</v>
      </c>
      <c r="I228" s="383">
        <f t="shared" ref="I228:I240" si="24">ROUND(H228*F228,2)</f>
        <v>4767.4799999999996</v>
      </c>
    </row>
    <row r="229" spans="1:9" ht="28.5" x14ac:dyDescent="0.25">
      <c r="A229" s="579" t="s">
        <v>766</v>
      </c>
      <c r="B229" s="608" t="s">
        <v>315</v>
      </c>
      <c r="C229" s="594">
        <v>72119</v>
      </c>
      <c r="D229" s="402" t="s">
        <v>767</v>
      </c>
      <c r="E229" s="414" t="s">
        <v>378</v>
      </c>
      <c r="F229" s="454">
        <f>15.6+2.28+3.12</f>
        <v>21</v>
      </c>
      <c r="G229" s="413">
        <v>272.58</v>
      </c>
      <c r="H229" s="382">
        <f t="shared" si="23"/>
        <v>340.53419399999996</v>
      </c>
      <c r="I229" s="383">
        <f t="shared" si="24"/>
        <v>7151.22</v>
      </c>
    </row>
    <row r="230" spans="1:9" ht="28.5" x14ac:dyDescent="0.25">
      <c r="A230" s="579" t="s">
        <v>768</v>
      </c>
      <c r="B230" s="608" t="s">
        <v>315</v>
      </c>
      <c r="C230" s="594">
        <v>72119</v>
      </c>
      <c r="D230" s="402" t="s">
        <v>769</v>
      </c>
      <c r="E230" s="414" t="s">
        <v>378</v>
      </c>
      <c r="F230" s="454">
        <v>11.88</v>
      </c>
      <c r="G230" s="413">
        <v>272.58</v>
      </c>
      <c r="H230" s="382">
        <f t="shared" si="23"/>
        <v>340.53419399999996</v>
      </c>
      <c r="I230" s="383">
        <f t="shared" si="24"/>
        <v>4045.55</v>
      </c>
    </row>
    <row r="231" spans="1:9" ht="28.5" x14ac:dyDescent="0.25">
      <c r="A231" s="579" t="s">
        <v>770</v>
      </c>
      <c r="B231" s="608" t="s">
        <v>315</v>
      </c>
      <c r="C231" s="594">
        <v>72119</v>
      </c>
      <c r="D231" s="402" t="s">
        <v>771</v>
      </c>
      <c r="E231" s="414" t="s">
        <v>378</v>
      </c>
      <c r="F231" s="454">
        <v>6.84</v>
      </c>
      <c r="G231" s="413">
        <v>272.58</v>
      </c>
      <c r="H231" s="382">
        <f t="shared" si="23"/>
        <v>340.53419399999996</v>
      </c>
      <c r="I231" s="383">
        <f t="shared" si="24"/>
        <v>2329.25</v>
      </c>
    </row>
    <row r="232" spans="1:9" ht="28.5" x14ac:dyDescent="0.25">
      <c r="A232" s="579" t="s">
        <v>772</v>
      </c>
      <c r="B232" s="608" t="s">
        <v>315</v>
      </c>
      <c r="C232" s="594">
        <v>72119</v>
      </c>
      <c r="D232" s="402" t="s">
        <v>773</v>
      </c>
      <c r="E232" s="414" t="s">
        <v>378</v>
      </c>
      <c r="F232" s="454">
        <v>2.76</v>
      </c>
      <c r="G232" s="413">
        <v>272.58</v>
      </c>
      <c r="H232" s="382">
        <f t="shared" si="23"/>
        <v>340.53419399999996</v>
      </c>
      <c r="I232" s="383">
        <f t="shared" si="24"/>
        <v>939.87</v>
      </c>
    </row>
    <row r="233" spans="1:9" ht="28.5" x14ac:dyDescent="0.25">
      <c r="A233" s="579" t="s">
        <v>774</v>
      </c>
      <c r="B233" s="608" t="s">
        <v>315</v>
      </c>
      <c r="C233" s="594">
        <v>72119</v>
      </c>
      <c r="D233" s="402" t="s">
        <v>775</v>
      </c>
      <c r="E233" s="414" t="s">
        <v>378</v>
      </c>
      <c r="F233" s="454">
        <v>2.34</v>
      </c>
      <c r="G233" s="413">
        <v>272.58</v>
      </c>
      <c r="H233" s="382">
        <f t="shared" si="23"/>
        <v>340.53419399999996</v>
      </c>
      <c r="I233" s="383">
        <f t="shared" si="24"/>
        <v>796.85</v>
      </c>
    </row>
    <row r="234" spans="1:9" x14ac:dyDescent="0.25">
      <c r="A234" s="579" t="s">
        <v>776</v>
      </c>
      <c r="B234" s="608" t="s">
        <v>315</v>
      </c>
      <c r="C234" s="594">
        <v>72120</v>
      </c>
      <c r="D234" s="402" t="s">
        <v>777</v>
      </c>
      <c r="E234" s="414" t="s">
        <v>378</v>
      </c>
      <c r="F234" s="454">
        <v>123</v>
      </c>
      <c r="G234" s="413">
        <v>338.39</v>
      </c>
      <c r="H234" s="382">
        <f t="shared" si="23"/>
        <v>422.75062700000001</v>
      </c>
      <c r="I234" s="383">
        <f t="shared" si="24"/>
        <v>51998.33</v>
      </c>
    </row>
    <row r="235" spans="1:9" ht="28.5" x14ac:dyDescent="0.25">
      <c r="A235" s="579" t="s">
        <v>778</v>
      </c>
      <c r="B235" s="608" t="s">
        <v>315</v>
      </c>
      <c r="C235" s="594">
        <v>72120</v>
      </c>
      <c r="D235" s="402" t="s">
        <v>779</v>
      </c>
      <c r="E235" s="414" t="s">
        <v>378</v>
      </c>
      <c r="F235" s="454">
        <v>4.4800000000000004</v>
      </c>
      <c r="G235" s="415">
        <v>347.44</v>
      </c>
      <c r="H235" s="382">
        <f t="shared" si="23"/>
        <v>434.05679199999997</v>
      </c>
      <c r="I235" s="383">
        <f t="shared" si="24"/>
        <v>1944.57</v>
      </c>
    </row>
    <row r="236" spans="1:9" ht="28.5" x14ac:dyDescent="0.25">
      <c r="A236" s="579" t="s">
        <v>780</v>
      </c>
      <c r="B236" s="608" t="s">
        <v>315</v>
      </c>
      <c r="C236" s="594">
        <v>72120</v>
      </c>
      <c r="D236" s="402" t="s">
        <v>781</v>
      </c>
      <c r="E236" s="414" t="s">
        <v>378</v>
      </c>
      <c r="F236" s="454">
        <f>8.4+(0.82*2.05)</f>
        <v>10.081</v>
      </c>
      <c r="G236" s="415">
        <v>347.44</v>
      </c>
      <c r="H236" s="382">
        <f t="shared" si="23"/>
        <v>434.05679199999997</v>
      </c>
      <c r="I236" s="383">
        <f t="shared" si="24"/>
        <v>4375.7299999999996</v>
      </c>
    </row>
    <row r="237" spans="1:9" ht="42.75" x14ac:dyDescent="0.25">
      <c r="A237" s="579" t="s">
        <v>782</v>
      </c>
      <c r="B237" s="608" t="s">
        <v>315</v>
      </c>
      <c r="C237" s="594">
        <v>72118</v>
      </c>
      <c r="D237" s="402" t="s">
        <v>783</v>
      </c>
      <c r="E237" s="414" t="s">
        <v>378</v>
      </c>
      <c r="F237" s="454">
        <v>13.44</v>
      </c>
      <c r="G237" s="416">
        <v>213.84</v>
      </c>
      <c r="H237" s="382">
        <f t="shared" si="23"/>
        <v>267.15031199999999</v>
      </c>
      <c r="I237" s="383">
        <f t="shared" si="24"/>
        <v>3590.5</v>
      </c>
    </row>
    <row r="238" spans="1:9" x14ac:dyDescent="0.25">
      <c r="A238" s="579" t="s">
        <v>784</v>
      </c>
      <c r="B238" s="608" t="s">
        <v>315</v>
      </c>
      <c r="C238" s="594">
        <v>85014</v>
      </c>
      <c r="D238" s="402" t="s">
        <v>785</v>
      </c>
      <c r="E238" s="414" t="s">
        <v>378</v>
      </c>
      <c r="F238" s="454">
        <v>53.42</v>
      </c>
      <c r="G238" s="415">
        <v>456.39</v>
      </c>
      <c r="H238" s="382">
        <f t="shared" si="23"/>
        <v>570.16802699999994</v>
      </c>
      <c r="I238" s="383">
        <f t="shared" si="24"/>
        <v>30458.38</v>
      </c>
    </row>
    <row r="239" spans="1:9" x14ac:dyDescent="0.25">
      <c r="A239" s="579" t="s">
        <v>786</v>
      </c>
      <c r="B239" s="608" t="s">
        <v>315</v>
      </c>
      <c r="C239" s="594">
        <v>84886</v>
      </c>
      <c r="D239" s="402" t="s">
        <v>787</v>
      </c>
      <c r="E239" s="414" t="s">
        <v>676</v>
      </c>
      <c r="F239" s="454">
        <f>7+1</f>
        <v>8</v>
      </c>
      <c r="G239" s="416">
        <v>789.01</v>
      </c>
      <c r="H239" s="382">
        <f t="shared" si="23"/>
        <v>985.710193</v>
      </c>
      <c r="I239" s="383">
        <f t="shared" si="24"/>
        <v>7885.68</v>
      </c>
    </row>
    <row r="240" spans="1:9" ht="28.5" x14ac:dyDescent="0.25">
      <c r="A240" s="579" t="s">
        <v>788</v>
      </c>
      <c r="B240" s="608" t="s">
        <v>315</v>
      </c>
      <c r="C240" s="594">
        <v>84885</v>
      </c>
      <c r="D240" s="402" t="s">
        <v>789</v>
      </c>
      <c r="E240" s="414" t="s">
        <v>676</v>
      </c>
      <c r="F240" s="454">
        <f>10+1</f>
        <v>11</v>
      </c>
      <c r="G240" s="416">
        <v>447.67</v>
      </c>
      <c r="H240" s="382">
        <f t="shared" si="23"/>
        <v>559.27413100000001</v>
      </c>
      <c r="I240" s="383">
        <f t="shared" si="24"/>
        <v>6152.02</v>
      </c>
    </row>
    <row r="241" spans="1:9" x14ac:dyDescent="0.25">
      <c r="A241" s="580"/>
      <c r="B241" s="608"/>
      <c r="C241" s="593"/>
      <c r="D241" s="417"/>
      <c r="E241" s="385"/>
      <c r="F241" s="454"/>
      <c r="G241" s="454"/>
      <c r="H241" s="382"/>
      <c r="I241" s="383"/>
    </row>
    <row r="242" spans="1:9" x14ac:dyDescent="0.25">
      <c r="A242" s="577" t="s">
        <v>790</v>
      </c>
      <c r="B242" s="604"/>
      <c r="C242" s="588"/>
      <c r="D242" s="446" t="s">
        <v>791</v>
      </c>
      <c r="E242" s="447"/>
      <c r="F242" s="448"/>
      <c r="G242" s="448"/>
      <c r="H242" s="448"/>
      <c r="I242" s="449">
        <f>SUM(I243:I381)</f>
        <v>2896062.5799999996</v>
      </c>
    </row>
    <row r="243" spans="1:9" x14ac:dyDescent="0.25">
      <c r="A243" s="580" t="s">
        <v>792</v>
      </c>
      <c r="B243" s="608"/>
      <c r="C243" s="593"/>
      <c r="D243" s="453" t="s">
        <v>793</v>
      </c>
      <c r="E243" s="385"/>
      <c r="F243" s="454"/>
      <c r="G243" s="454"/>
      <c r="H243" s="382"/>
      <c r="I243" s="383"/>
    </row>
    <row r="244" spans="1:9" x14ac:dyDescent="0.25">
      <c r="A244" s="579" t="s">
        <v>794</v>
      </c>
      <c r="B244" s="608" t="s">
        <v>315</v>
      </c>
      <c r="C244" s="593">
        <v>83468</v>
      </c>
      <c r="D244" s="452" t="s">
        <v>3516</v>
      </c>
      <c r="E244" s="385" t="s">
        <v>306</v>
      </c>
      <c r="F244" s="454">
        <v>2939</v>
      </c>
      <c r="G244" s="454">
        <v>7.1</v>
      </c>
      <c r="H244" s="382">
        <f t="shared" si="23"/>
        <v>8.8700299999999999</v>
      </c>
      <c r="I244" s="383">
        <f t="shared" ref="I244:I310" si="25">ROUND(H244*F244,2)</f>
        <v>26069.02</v>
      </c>
    </row>
    <row r="245" spans="1:9" x14ac:dyDescent="0.25">
      <c r="A245" s="579" t="s">
        <v>795</v>
      </c>
      <c r="B245" s="608" t="s">
        <v>315</v>
      </c>
      <c r="C245" s="593">
        <v>83469</v>
      </c>
      <c r="D245" s="452" t="s">
        <v>3517</v>
      </c>
      <c r="E245" s="385" t="s">
        <v>306</v>
      </c>
      <c r="F245" s="454">
        <v>184</v>
      </c>
      <c r="G245" s="454">
        <v>7.1</v>
      </c>
      <c r="H245" s="382">
        <f t="shared" si="23"/>
        <v>8.8700299999999999</v>
      </c>
      <c r="I245" s="383">
        <f t="shared" si="25"/>
        <v>1632.09</v>
      </c>
    </row>
    <row r="246" spans="1:9" x14ac:dyDescent="0.25">
      <c r="A246" s="579" t="s">
        <v>796</v>
      </c>
      <c r="B246" s="608" t="s">
        <v>315</v>
      </c>
      <c r="C246" s="593">
        <v>93040</v>
      </c>
      <c r="D246" s="452" t="s">
        <v>3518</v>
      </c>
      <c r="E246" s="385" t="s">
        <v>306</v>
      </c>
      <c r="F246" s="454">
        <v>363</v>
      </c>
      <c r="G246" s="454">
        <v>12.2</v>
      </c>
      <c r="H246" s="382">
        <f t="shared" si="23"/>
        <v>15.24146</v>
      </c>
      <c r="I246" s="383">
        <f t="shared" si="25"/>
        <v>5532.65</v>
      </c>
    </row>
    <row r="247" spans="1:9" ht="28.5" x14ac:dyDescent="0.25">
      <c r="A247" s="579" t="s">
        <v>797</v>
      </c>
      <c r="B247" s="608" t="s">
        <v>315</v>
      </c>
      <c r="C247" s="593">
        <v>93128</v>
      </c>
      <c r="D247" s="452" t="s">
        <v>3519</v>
      </c>
      <c r="E247" s="385" t="s">
        <v>306</v>
      </c>
      <c r="F247" s="454">
        <v>400</v>
      </c>
      <c r="G247" s="454">
        <v>87.1</v>
      </c>
      <c r="H247" s="382">
        <f t="shared" si="23"/>
        <v>108.81402999999999</v>
      </c>
      <c r="I247" s="383">
        <f t="shared" si="25"/>
        <v>43525.61</v>
      </c>
    </row>
    <row r="248" spans="1:9" ht="28.5" x14ac:dyDescent="0.25">
      <c r="A248" s="579" t="s">
        <v>798</v>
      </c>
      <c r="B248" s="608" t="s">
        <v>315</v>
      </c>
      <c r="C248" s="593">
        <v>93138</v>
      </c>
      <c r="D248" s="452" t="s">
        <v>3520</v>
      </c>
      <c r="E248" s="385" t="s">
        <v>306</v>
      </c>
      <c r="F248" s="454">
        <v>186</v>
      </c>
      <c r="G248" s="454">
        <v>99.11</v>
      </c>
      <c r="H248" s="382">
        <f t="shared" si="23"/>
        <v>123.818123</v>
      </c>
      <c r="I248" s="383">
        <f t="shared" si="25"/>
        <v>23030.17</v>
      </c>
    </row>
    <row r="249" spans="1:9" ht="28.5" x14ac:dyDescent="0.25">
      <c r="A249" s="579" t="s">
        <v>799</v>
      </c>
      <c r="B249" s="608" t="s">
        <v>315</v>
      </c>
      <c r="C249" s="593">
        <v>93139</v>
      </c>
      <c r="D249" s="452" t="s">
        <v>3521</v>
      </c>
      <c r="E249" s="385" t="s">
        <v>306</v>
      </c>
      <c r="F249" s="454">
        <v>107</v>
      </c>
      <c r="G249" s="454">
        <v>128.93</v>
      </c>
      <c r="H249" s="382">
        <f t="shared" si="23"/>
        <v>161.072249</v>
      </c>
      <c r="I249" s="383">
        <f t="shared" si="25"/>
        <v>17234.73</v>
      </c>
    </row>
    <row r="250" spans="1:9" ht="28.5" x14ac:dyDescent="0.25">
      <c r="A250" s="579" t="s">
        <v>800</v>
      </c>
      <c r="B250" s="624" t="s">
        <v>315</v>
      </c>
      <c r="C250" s="593">
        <v>93141</v>
      </c>
      <c r="D250" s="452" t="s">
        <v>3455</v>
      </c>
      <c r="E250" s="385" t="s">
        <v>306</v>
      </c>
      <c r="F250" s="454">
        <v>1055</v>
      </c>
      <c r="G250" s="454">
        <v>103.33</v>
      </c>
      <c r="H250" s="382">
        <f t="shared" si="23"/>
        <v>129.090169</v>
      </c>
      <c r="I250" s="383">
        <f t="shared" si="25"/>
        <v>136190.13</v>
      </c>
    </row>
    <row r="251" spans="1:9" ht="28.5" x14ac:dyDescent="0.25">
      <c r="A251" s="579" t="s">
        <v>801</v>
      </c>
      <c r="B251" s="624" t="s">
        <v>315</v>
      </c>
      <c r="C251" s="593">
        <v>93144</v>
      </c>
      <c r="D251" s="452" t="s">
        <v>3522</v>
      </c>
      <c r="E251" s="385" t="s">
        <v>306</v>
      </c>
      <c r="F251" s="454">
        <v>116</v>
      </c>
      <c r="G251" s="454">
        <v>126.74</v>
      </c>
      <c r="H251" s="382">
        <f t="shared" si="23"/>
        <v>158.33628199999998</v>
      </c>
      <c r="I251" s="383">
        <f t="shared" si="25"/>
        <v>18367.009999999998</v>
      </c>
    </row>
    <row r="252" spans="1:9" ht="28.5" x14ac:dyDescent="0.25">
      <c r="A252" s="579" t="s">
        <v>802</v>
      </c>
      <c r="B252" s="624" t="s">
        <v>315</v>
      </c>
      <c r="C252" s="593" t="s">
        <v>803</v>
      </c>
      <c r="D252" s="452" t="s">
        <v>3523</v>
      </c>
      <c r="E252" s="385" t="s">
        <v>306</v>
      </c>
      <c r="F252" s="454">
        <v>122</v>
      </c>
      <c r="G252" s="454">
        <v>64.37</v>
      </c>
      <c r="H252" s="382">
        <f t="shared" si="23"/>
        <v>80.417440999999997</v>
      </c>
      <c r="I252" s="383">
        <f t="shared" si="25"/>
        <v>9810.93</v>
      </c>
    </row>
    <row r="253" spans="1:9" ht="28.5" x14ac:dyDescent="0.25">
      <c r="A253" s="579" t="s">
        <v>804</v>
      </c>
      <c r="B253" s="624" t="s">
        <v>315</v>
      </c>
      <c r="C253" s="593" t="s">
        <v>805</v>
      </c>
      <c r="D253" s="452" t="s">
        <v>3524</v>
      </c>
      <c r="E253" s="385" t="s">
        <v>306</v>
      </c>
      <c r="F253" s="454">
        <v>754</v>
      </c>
      <c r="G253" s="454">
        <v>154.62</v>
      </c>
      <c r="H253" s="382">
        <f t="shared" si="23"/>
        <v>193.166766</v>
      </c>
      <c r="I253" s="383">
        <f t="shared" si="25"/>
        <v>145647.74</v>
      </c>
    </row>
    <row r="254" spans="1:9" x14ac:dyDescent="0.25">
      <c r="A254" s="579" t="s">
        <v>806</v>
      </c>
      <c r="B254" s="624" t="s">
        <v>315</v>
      </c>
      <c r="C254" s="593" t="s">
        <v>807</v>
      </c>
      <c r="D254" s="452" t="s">
        <v>808</v>
      </c>
      <c r="E254" s="385" t="s">
        <v>306</v>
      </c>
      <c r="F254" s="454">
        <v>92</v>
      </c>
      <c r="G254" s="454">
        <v>104.09</v>
      </c>
      <c r="H254" s="382">
        <f t="shared" si="23"/>
        <v>130.039637</v>
      </c>
      <c r="I254" s="383">
        <f t="shared" si="25"/>
        <v>11963.65</v>
      </c>
    </row>
    <row r="255" spans="1:9" x14ac:dyDescent="0.25">
      <c r="A255" s="579" t="s">
        <v>809</v>
      </c>
      <c r="B255" s="624" t="s">
        <v>315</v>
      </c>
      <c r="C255" s="593" t="s">
        <v>810</v>
      </c>
      <c r="D255" s="452" t="s">
        <v>811</v>
      </c>
      <c r="E255" s="385" t="s">
        <v>306</v>
      </c>
      <c r="F255" s="454">
        <v>225</v>
      </c>
      <c r="G255" s="454">
        <v>56.13</v>
      </c>
      <c r="H255" s="382">
        <f t="shared" si="23"/>
        <v>70.123209000000003</v>
      </c>
      <c r="I255" s="383">
        <f t="shared" si="25"/>
        <v>15777.72</v>
      </c>
    </row>
    <row r="256" spans="1:9" x14ac:dyDescent="0.25">
      <c r="A256" s="580" t="s">
        <v>812</v>
      </c>
      <c r="B256" s="607"/>
      <c r="C256" s="591"/>
      <c r="D256" s="453" t="s">
        <v>813</v>
      </c>
      <c r="E256" s="385"/>
      <c r="F256" s="456"/>
      <c r="G256" s="406"/>
      <c r="H256" s="382"/>
      <c r="I256" s="383"/>
    </row>
    <row r="257" spans="1:9" x14ac:dyDescent="0.25">
      <c r="A257" s="579" t="s">
        <v>814</v>
      </c>
      <c r="B257" s="608" t="s">
        <v>315</v>
      </c>
      <c r="C257" s="594" t="s">
        <v>815</v>
      </c>
      <c r="D257" s="416" t="s">
        <v>816</v>
      </c>
      <c r="E257" s="414" t="s">
        <v>817</v>
      </c>
      <c r="F257" s="457">
        <v>1</v>
      </c>
      <c r="G257" s="457">
        <v>11.38</v>
      </c>
      <c r="H257" s="382">
        <f t="shared" si="23"/>
        <v>14.217034000000002</v>
      </c>
      <c r="I257" s="383">
        <f t="shared" si="25"/>
        <v>14.22</v>
      </c>
    </row>
    <row r="258" spans="1:9" x14ac:dyDescent="0.25">
      <c r="A258" s="579" t="s">
        <v>818</v>
      </c>
      <c r="B258" s="608" t="s">
        <v>320</v>
      </c>
      <c r="C258" s="594">
        <v>2841</v>
      </c>
      <c r="D258" s="416" t="s">
        <v>819</v>
      </c>
      <c r="E258" s="414" t="s">
        <v>820</v>
      </c>
      <c r="F258" s="457">
        <v>2</v>
      </c>
      <c r="G258" s="457">
        <v>10.16</v>
      </c>
      <c r="H258" s="382">
        <f t="shared" si="23"/>
        <v>12.692888</v>
      </c>
      <c r="I258" s="383">
        <f t="shared" si="25"/>
        <v>25.39</v>
      </c>
    </row>
    <row r="259" spans="1:9" x14ac:dyDescent="0.25">
      <c r="A259" s="579" t="s">
        <v>821</v>
      </c>
      <c r="B259" s="608" t="s">
        <v>320</v>
      </c>
      <c r="C259" s="594">
        <v>2844</v>
      </c>
      <c r="D259" s="416" t="s">
        <v>822</v>
      </c>
      <c r="E259" s="414" t="s">
        <v>823</v>
      </c>
      <c r="F259" s="457">
        <v>18</v>
      </c>
      <c r="G259" s="457">
        <v>0.47</v>
      </c>
      <c r="H259" s="382">
        <f t="shared" si="23"/>
        <v>0.587171</v>
      </c>
      <c r="I259" s="383">
        <f t="shared" si="25"/>
        <v>10.57</v>
      </c>
    </row>
    <row r="260" spans="1:9" x14ac:dyDescent="0.25">
      <c r="A260" s="579" t="s">
        <v>824</v>
      </c>
      <c r="B260" s="608" t="s">
        <v>315</v>
      </c>
      <c r="C260" s="594">
        <v>72253</v>
      </c>
      <c r="D260" s="416" t="s">
        <v>825</v>
      </c>
      <c r="E260" s="414" t="s">
        <v>374</v>
      </c>
      <c r="F260" s="457">
        <v>35</v>
      </c>
      <c r="G260" s="457">
        <v>20.3</v>
      </c>
      <c r="H260" s="382">
        <f t="shared" si="23"/>
        <v>25.360790000000001</v>
      </c>
      <c r="I260" s="383">
        <f t="shared" si="25"/>
        <v>887.63</v>
      </c>
    </row>
    <row r="261" spans="1:9" x14ac:dyDescent="0.25">
      <c r="A261" s="579" t="s">
        <v>826</v>
      </c>
      <c r="B261" s="608" t="s">
        <v>320</v>
      </c>
      <c r="C261" s="594">
        <v>2855</v>
      </c>
      <c r="D261" s="416" t="s">
        <v>827</v>
      </c>
      <c r="E261" s="414" t="s">
        <v>374</v>
      </c>
      <c r="F261" s="457">
        <v>3</v>
      </c>
      <c r="G261" s="457">
        <v>10.55</v>
      </c>
      <c r="H261" s="382">
        <f t="shared" si="23"/>
        <v>13.180115000000001</v>
      </c>
      <c r="I261" s="383">
        <f t="shared" si="25"/>
        <v>39.54</v>
      </c>
    </row>
    <row r="262" spans="1:9" x14ac:dyDescent="0.25">
      <c r="A262" s="579" t="s">
        <v>828</v>
      </c>
      <c r="B262" s="608" t="s">
        <v>315</v>
      </c>
      <c r="C262" s="594">
        <v>72263</v>
      </c>
      <c r="D262" s="416" t="s">
        <v>829</v>
      </c>
      <c r="E262" s="414" t="s">
        <v>823</v>
      </c>
      <c r="F262" s="457">
        <v>6</v>
      </c>
      <c r="G262" s="457">
        <v>15.31</v>
      </c>
      <c r="H262" s="382">
        <f t="shared" si="23"/>
        <v>19.126783</v>
      </c>
      <c r="I262" s="383">
        <f t="shared" si="25"/>
        <v>114.76</v>
      </c>
    </row>
    <row r="263" spans="1:9" x14ac:dyDescent="0.25">
      <c r="A263" s="579" t="s">
        <v>830</v>
      </c>
      <c r="B263" s="608" t="s">
        <v>315</v>
      </c>
      <c r="C263" s="594">
        <v>72306</v>
      </c>
      <c r="D263" s="416" t="s">
        <v>831</v>
      </c>
      <c r="E263" s="414" t="s">
        <v>823</v>
      </c>
      <c r="F263" s="457">
        <v>2</v>
      </c>
      <c r="G263" s="457">
        <v>134.47</v>
      </c>
      <c r="H263" s="382">
        <f t="shared" si="23"/>
        <v>167.993371</v>
      </c>
      <c r="I263" s="383">
        <f t="shared" si="25"/>
        <v>335.99</v>
      </c>
    </row>
    <row r="264" spans="1:9" x14ac:dyDescent="0.25">
      <c r="A264" s="579" t="s">
        <v>832</v>
      </c>
      <c r="B264" s="608" t="s">
        <v>315</v>
      </c>
      <c r="C264" s="594">
        <v>72308</v>
      </c>
      <c r="D264" s="416" t="s">
        <v>833</v>
      </c>
      <c r="E264" s="414" t="s">
        <v>374</v>
      </c>
      <c r="F264" s="457">
        <v>6</v>
      </c>
      <c r="G264" s="457">
        <v>18.16</v>
      </c>
      <c r="H264" s="382">
        <f t="shared" si="23"/>
        <v>22.687287999999999</v>
      </c>
      <c r="I264" s="383">
        <f t="shared" si="25"/>
        <v>136.12</v>
      </c>
    </row>
    <row r="265" spans="1:9" x14ac:dyDescent="0.25">
      <c r="A265" s="579" t="s">
        <v>834</v>
      </c>
      <c r="B265" s="608" t="s">
        <v>315</v>
      </c>
      <c r="C265" s="594">
        <v>91931</v>
      </c>
      <c r="D265" s="416" t="s">
        <v>835</v>
      </c>
      <c r="E265" s="414" t="s">
        <v>374</v>
      </c>
      <c r="F265" s="457">
        <v>6</v>
      </c>
      <c r="G265" s="457">
        <v>5</v>
      </c>
      <c r="H265" s="382">
        <f t="shared" si="23"/>
        <v>6.2465000000000002</v>
      </c>
      <c r="I265" s="383">
        <f t="shared" si="25"/>
        <v>37.479999999999997</v>
      </c>
    </row>
    <row r="266" spans="1:9" x14ac:dyDescent="0.25">
      <c r="A266" s="579" t="s">
        <v>836</v>
      </c>
      <c r="B266" s="608" t="s">
        <v>315</v>
      </c>
      <c r="C266" s="594" t="s">
        <v>837</v>
      </c>
      <c r="D266" s="416" t="s">
        <v>838</v>
      </c>
      <c r="E266" s="414" t="s">
        <v>823</v>
      </c>
      <c r="F266" s="457">
        <v>3</v>
      </c>
      <c r="G266" s="457">
        <v>104.23</v>
      </c>
      <c r="H266" s="382">
        <f t="shared" si="23"/>
        <v>130.214539</v>
      </c>
      <c r="I266" s="383">
        <f t="shared" si="25"/>
        <v>390.64</v>
      </c>
    </row>
    <row r="267" spans="1:9" x14ac:dyDescent="0.25">
      <c r="A267" s="579" t="s">
        <v>839</v>
      </c>
      <c r="B267" s="608" t="s">
        <v>315</v>
      </c>
      <c r="C267" s="594">
        <v>72619</v>
      </c>
      <c r="D267" s="416" t="s">
        <v>840</v>
      </c>
      <c r="E267" s="414" t="s">
        <v>823</v>
      </c>
      <c r="F267" s="457">
        <v>4</v>
      </c>
      <c r="G267" s="457">
        <v>80.52</v>
      </c>
      <c r="H267" s="382">
        <f t="shared" si="23"/>
        <v>100.59363599999999</v>
      </c>
      <c r="I267" s="383">
        <f t="shared" si="25"/>
        <v>402.37</v>
      </c>
    </row>
    <row r="268" spans="1:9" x14ac:dyDescent="0.25">
      <c r="A268" s="579" t="s">
        <v>841</v>
      </c>
      <c r="B268" s="608" t="s">
        <v>320</v>
      </c>
      <c r="C268" s="594">
        <v>4136</v>
      </c>
      <c r="D268" s="416" t="s">
        <v>842</v>
      </c>
      <c r="E268" s="414" t="s">
        <v>823</v>
      </c>
      <c r="F268" s="457">
        <v>5</v>
      </c>
      <c r="G268" s="457">
        <v>12.4</v>
      </c>
      <c r="H268" s="382">
        <f t="shared" si="23"/>
        <v>15.49132</v>
      </c>
      <c r="I268" s="383">
        <f t="shared" si="25"/>
        <v>77.459999999999994</v>
      </c>
    </row>
    <row r="269" spans="1:9" x14ac:dyDescent="0.25">
      <c r="A269" s="579" t="s">
        <v>843</v>
      </c>
      <c r="B269" s="608" t="s">
        <v>315</v>
      </c>
      <c r="C269" s="594" t="s">
        <v>844</v>
      </c>
      <c r="D269" s="416" t="s">
        <v>845</v>
      </c>
      <c r="E269" s="414" t="s">
        <v>823</v>
      </c>
      <c r="F269" s="457">
        <v>4</v>
      </c>
      <c r="G269" s="457">
        <v>337.38</v>
      </c>
      <c r="H269" s="382">
        <f t="shared" si="23"/>
        <v>421.488834</v>
      </c>
      <c r="I269" s="383">
        <f t="shared" si="25"/>
        <v>1685.96</v>
      </c>
    </row>
    <row r="270" spans="1:9" x14ac:dyDescent="0.25">
      <c r="A270" s="579" t="s">
        <v>846</v>
      </c>
      <c r="B270" s="608" t="s">
        <v>315</v>
      </c>
      <c r="C270" s="594">
        <v>83641</v>
      </c>
      <c r="D270" s="416" t="s">
        <v>847</v>
      </c>
      <c r="E270" s="414" t="s">
        <v>823</v>
      </c>
      <c r="F270" s="457">
        <v>3</v>
      </c>
      <c r="G270" s="457">
        <v>336.72</v>
      </c>
      <c r="H270" s="382">
        <f t="shared" si="23"/>
        <v>420.66429600000004</v>
      </c>
      <c r="I270" s="383">
        <f t="shared" si="25"/>
        <v>1261.99</v>
      </c>
    </row>
    <row r="271" spans="1:9" x14ac:dyDescent="0.25">
      <c r="A271" s="579" t="s">
        <v>848</v>
      </c>
      <c r="B271" s="608" t="s">
        <v>320</v>
      </c>
      <c r="C271" s="594">
        <v>29100</v>
      </c>
      <c r="D271" s="416" t="s">
        <v>849</v>
      </c>
      <c r="E271" s="414" t="s">
        <v>823</v>
      </c>
      <c r="F271" s="457">
        <v>3</v>
      </c>
      <c r="G271" s="457">
        <v>7.46</v>
      </c>
      <c r="H271" s="382">
        <f t="shared" si="23"/>
        <v>9.3197779999999995</v>
      </c>
      <c r="I271" s="383">
        <f t="shared" si="25"/>
        <v>27.96</v>
      </c>
    </row>
    <row r="272" spans="1:9" x14ac:dyDescent="0.25">
      <c r="A272" s="579" t="s">
        <v>850</v>
      </c>
      <c r="B272" s="608" t="s">
        <v>320</v>
      </c>
      <c r="C272" s="594">
        <v>2915</v>
      </c>
      <c r="D272" s="416" t="s">
        <v>851</v>
      </c>
      <c r="E272" s="414" t="s">
        <v>823</v>
      </c>
      <c r="F272" s="457">
        <v>2</v>
      </c>
      <c r="G272" s="457">
        <v>6.08</v>
      </c>
      <c r="H272" s="382">
        <f t="shared" si="23"/>
        <v>7.5957439999999998</v>
      </c>
      <c r="I272" s="383">
        <f t="shared" si="25"/>
        <v>15.19</v>
      </c>
    </row>
    <row r="273" spans="1:9" x14ac:dyDescent="0.25">
      <c r="A273" s="579" t="s">
        <v>852</v>
      </c>
      <c r="B273" s="608" t="s">
        <v>320</v>
      </c>
      <c r="C273" s="594">
        <v>2934</v>
      </c>
      <c r="D273" s="416" t="s">
        <v>853</v>
      </c>
      <c r="E273" s="414" t="s">
        <v>823</v>
      </c>
      <c r="F273" s="457">
        <v>4</v>
      </c>
      <c r="G273" s="457">
        <v>7.02</v>
      </c>
      <c r="H273" s="382">
        <f t="shared" si="23"/>
        <v>8.7700859999999992</v>
      </c>
      <c r="I273" s="383">
        <f t="shared" si="25"/>
        <v>35.08</v>
      </c>
    </row>
    <row r="274" spans="1:9" x14ac:dyDescent="0.25">
      <c r="A274" s="579" t="s">
        <v>854</v>
      </c>
      <c r="B274" s="608" t="s">
        <v>315</v>
      </c>
      <c r="C274" s="594" t="s">
        <v>855</v>
      </c>
      <c r="D274" s="416" t="s">
        <v>856</v>
      </c>
      <c r="E274" s="414" t="s">
        <v>817</v>
      </c>
      <c r="F274" s="457">
        <v>1</v>
      </c>
      <c r="G274" s="457">
        <v>1209.0899999999999</v>
      </c>
      <c r="H274" s="382">
        <f t="shared" si="23"/>
        <v>1510.5161369999998</v>
      </c>
      <c r="I274" s="383">
        <f t="shared" si="25"/>
        <v>1510.52</v>
      </c>
    </row>
    <row r="275" spans="1:9" x14ac:dyDescent="0.25">
      <c r="A275" s="579" t="s">
        <v>857</v>
      </c>
      <c r="B275" s="608" t="s">
        <v>320</v>
      </c>
      <c r="C275" s="594">
        <v>29.53</v>
      </c>
      <c r="D275" s="416" t="s">
        <v>858</v>
      </c>
      <c r="E275" s="414" t="s">
        <v>823</v>
      </c>
      <c r="F275" s="457">
        <v>1</v>
      </c>
      <c r="G275" s="457">
        <v>1.32</v>
      </c>
      <c r="H275" s="382">
        <f t="shared" si="23"/>
        <v>1.649076</v>
      </c>
      <c r="I275" s="383">
        <f t="shared" si="25"/>
        <v>1.65</v>
      </c>
    </row>
    <row r="276" spans="1:9" x14ac:dyDescent="0.25">
      <c r="A276" s="579" t="s">
        <v>859</v>
      </c>
      <c r="B276" s="608" t="s">
        <v>315</v>
      </c>
      <c r="C276" s="594">
        <v>72316</v>
      </c>
      <c r="D276" s="416" t="s">
        <v>860</v>
      </c>
      <c r="E276" s="414" t="s">
        <v>374</v>
      </c>
      <c r="F276" s="457">
        <v>6</v>
      </c>
      <c r="G276" s="457">
        <v>54.21</v>
      </c>
      <c r="H276" s="382">
        <f t="shared" si="23"/>
        <v>67.724553</v>
      </c>
      <c r="I276" s="383">
        <f t="shared" si="25"/>
        <v>406.35</v>
      </c>
    </row>
    <row r="277" spans="1:9" x14ac:dyDescent="0.25">
      <c r="A277" s="580" t="s">
        <v>861</v>
      </c>
      <c r="B277" s="607"/>
      <c r="C277" s="591"/>
      <c r="D277" s="418" t="s">
        <v>862</v>
      </c>
      <c r="E277" s="385"/>
      <c r="F277" s="456"/>
      <c r="G277" s="406"/>
      <c r="H277" s="382"/>
      <c r="I277" s="383"/>
    </row>
    <row r="278" spans="1:9" x14ac:dyDescent="0.25">
      <c r="A278" s="579" t="s">
        <v>863</v>
      </c>
      <c r="B278" s="608" t="s">
        <v>320</v>
      </c>
      <c r="C278" s="594">
        <v>7379</v>
      </c>
      <c r="D278" s="416" t="s">
        <v>864</v>
      </c>
      <c r="E278" s="414" t="s">
        <v>823</v>
      </c>
      <c r="F278" s="457">
        <v>3</v>
      </c>
      <c r="G278" s="457">
        <v>571.09</v>
      </c>
      <c r="H278" s="382">
        <f t="shared" si="23"/>
        <v>713.46273700000006</v>
      </c>
      <c r="I278" s="383">
        <f t="shared" si="25"/>
        <v>2140.39</v>
      </c>
    </row>
    <row r="279" spans="1:9" x14ac:dyDescent="0.25">
      <c r="A279" s="579" t="s">
        <v>865</v>
      </c>
      <c r="B279" s="608" t="s">
        <v>601</v>
      </c>
      <c r="C279" s="594" t="s">
        <v>866</v>
      </c>
      <c r="D279" s="416" t="s">
        <v>867</v>
      </c>
      <c r="E279" s="414" t="s">
        <v>374</v>
      </c>
      <c r="F279" s="457">
        <v>140</v>
      </c>
      <c r="G279" s="457">
        <v>76.95</v>
      </c>
      <c r="H279" s="382">
        <f t="shared" si="23"/>
        <v>96.133634999999998</v>
      </c>
      <c r="I279" s="383">
        <f t="shared" si="25"/>
        <v>13458.71</v>
      </c>
    </row>
    <row r="280" spans="1:9" x14ac:dyDescent="0.25">
      <c r="A280" s="579" t="s">
        <v>868</v>
      </c>
      <c r="B280" s="608" t="s">
        <v>320</v>
      </c>
      <c r="C280" s="594">
        <v>7380</v>
      </c>
      <c r="D280" s="416" t="s">
        <v>869</v>
      </c>
      <c r="E280" s="414" t="s">
        <v>823</v>
      </c>
      <c r="F280" s="457">
        <v>18</v>
      </c>
      <c r="G280" s="457">
        <v>131.78</v>
      </c>
      <c r="H280" s="382">
        <f t="shared" si="23"/>
        <v>164.63275400000001</v>
      </c>
      <c r="I280" s="383">
        <f t="shared" si="25"/>
        <v>2963.39</v>
      </c>
    </row>
    <row r="281" spans="1:9" x14ac:dyDescent="0.25">
      <c r="A281" s="579" t="s">
        <v>870</v>
      </c>
      <c r="B281" s="608" t="s">
        <v>315</v>
      </c>
      <c r="C281" s="594" t="s">
        <v>844</v>
      </c>
      <c r="D281" s="416" t="s">
        <v>871</v>
      </c>
      <c r="E281" s="414" t="s">
        <v>823</v>
      </c>
      <c r="F281" s="457">
        <v>4</v>
      </c>
      <c r="G281" s="457">
        <v>337.38</v>
      </c>
      <c r="H281" s="382">
        <f t="shared" si="23"/>
        <v>421.488834</v>
      </c>
      <c r="I281" s="383">
        <f t="shared" si="25"/>
        <v>1685.96</v>
      </c>
    </row>
    <row r="282" spans="1:9" x14ac:dyDescent="0.25">
      <c r="A282" s="579" t="s">
        <v>872</v>
      </c>
      <c r="B282" s="608" t="s">
        <v>601</v>
      </c>
      <c r="C282" s="595" t="s">
        <v>873</v>
      </c>
      <c r="D282" s="452" t="s">
        <v>874</v>
      </c>
      <c r="E282" s="414" t="s">
        <v>823</v>
      </c>
      <c r="F282" s="457">
        <v>1</v>
      </c>
      <c r="G282" s="457">
        <v>33878.25</v>
      </c>
      <c r="H282" s="382">
        <f t="shared" si="23"/>
        <v>42324.097725</v>
      </c>
      <c r="I282" s="383">
        <f>ROUND(H282*F282,2)</f>
        <v>42324.1</v>
      </c>
    </row>
    <row r="283" spans="1:9" x14ac:dyDescent="0.25">
      <c r="A283" s="579" t="s">
        <v>875</v>
      </c>
      <c r="B283" s="608" t="s">
        <v>320</v>
      </c>
      <c r="C283" s="594">
        <v>83488</v>
      </c>
      <c r="D283" s="416" t="s">
        <v>876</v>
      </c>
      <c r="E283" s="414" t="s">
        <v>823</v>
      </c>
      <c r="F283" s="457">
        <v>1</v>
      </c>
      <c r="G283" s="457">
        <v>2175.1799999999998</v>
      </c>
      <c r="H283" s="382">
        <f t="shared" ref="H283:H346" si="26">G283+(G283*$H$14)</f>
        <v>2717.4523739999995</v>
      </c>
      <c r="I283" s="383">
        <f t="shared" si="25"/>
        <v>2717.45</v>
      </c>
    </row>
    <row r="284" spans="1:9" x14ac:dyDescent="0.25">
      <c r="A284" s="579" t="s">
        <v>877</v>
      </c>
      <c r="B284" s="608" t="s">
        <v>315</v>
      </c>
      <c r="C284" s="595">
        <v>83641</v>
      </c>
      <c r="D284" s="416" t="s">
        <v>878</v>
      </c>
      <c r="E284" s="414" t="s">
        <v>823</v>
      </c>
      <c r="F284" s="457">
        <v>3</v>
      </c>
      <c r="G284" s="457">
        <v>336.72</v>
      </c>
      <c r="H284" s="382">
        <f t="shared" si="26"/>
        <v>420.66429600000004</v>
      </c>
      <c r="I284" s="383">
        <f t="shared" si="25"/>
        <v>1261.99</v>
      </c>
    </row>
    <row r="285" spans="1:9" x14ac:dyDescent="0.25">
      <c r="A285" s="579" t="s">
        <v>879</v>
      </c>
      <c r="B285" s="608" t="s">
        <v>315</v>
      </c>
      <c r="C285" s="595">
        <v>72619</v>
      </c>
      <c r="D285" s="416" t="s">
        <v>880</v>
      </c>
      <c r="E285" s="414" t="s">
        <v>823</v>
      </c>
      <c r="F285" s="457">
        <v>2</v>
      </c>
      <c r="G285" s="457">
        <v>80.52</v>
      </c>
      <c r="H285" s="382">
        <f t="shared" si="26"/>
        <v>100.59363599999999</v>
      </c>
      <c r="I285" s="383">
        <f t="shared" si="25"/>
        <v>201.19</v>
      </c>
    </row>
    <row r="286" spans="1:9" ht="28.5" x14ac:dyDescent="0.25">
      <c r="A286" s="579" t="s">
        <v>881</v>
      </c>
      <c r="B286" s="608" t="s">
        <v>315</v>
      </c>
      <c r="C286" s="595" t="s">
        <v>882</v>
      </c>
      <c r="D286" s="452" t="s">
        <v>883</v>
      </c>
      <c r="E286" s="414" t="s">
        <v>823</v>
      </c>
      <c r="F286" s="457">
        <v>2</v>
      </c>
      <c r="G286" s="457">
        <v>63725.02</v>
      </c>
      <c r="H286" s="382">
        <f t="shared" si="26"/>
        <v>79611.667485999991</v>
      </c>
      <c r="I286" s="383">
        <f>ROUND(H286*F286,2)</f>
        <v>159223.32999999999</v>
      </c>
    </row>
    <row r="287" spans="1:9" x14ac:dyDescent="0.25">
      <c r="A287" s="579" t="s">
        <v>884</v>
      </c>
      <c r="B287" s="608" t="s">
        <v>320</v>
      </c>
      <c r="C287" s="594">
        <v>7860</v>
      </c>
      <c r="D287" s="416" t="s">
        <v>885</v>
      </c>
      <c r="E287" s="414" t="s">
        <v>823</v>
      </c>
      <c r="F287" s="457">
        <v>2</v>
      </c>
      <c r="G287" s="457">
        <v>467.02</v>
      </c>
      <c r="H287" s="382">
        <f t="shared" si="26"/>
        <v>583.44808599999999</v>
      </c>
      <c r="I287" s="383">
        <f t="shared" si="25"/>
        <v>1166.9000000000001</v>
      </c>
    </row>
    <row r="288" spans="1:9" x14ac:dyDescent="0.2">
      <c r="A288" s="579" t="s">
        <v>886</v>
      </c>
      <c r="B288" s="606" t="s">
        <v>315</v>
      </c>
      <c r="C288" s="590">
        <v>93000</v>
      </c>
      <c r="D288" s="547" t="s">
        <v>887</v>
      </c>
      <c r="E288" s="546" t="s">
        <v>374</v>
      </c>
      <c r="F288" s="395">
        <v>3200</v>
      </c>
      <c r="G288" s="396">
        <v>112.46</v>
      </c>
      <c r="H288" s="382">
        <f t="shared" si="26"/>
        <v>140.49627799999999</v>
      </c>
      <c r="I288" s="383">
        <f t="shared" si="25"/>
        <v>449588.09</v>
      </c>
    </row>
    <row r="289" spans="1:10" x14ac:dyDescent="0.25">
      <c r="A289" s="579" t="s">
        <v>888</v>
      </c>
      <c r="B289" s="608" t="s">
        <v>315</v>
      </c>
      <c r="C289" s="595">
        <v>83488</v>
      </c>
      <c r="D289" s="416" t="s">
        <v>889</v>
      </c>
      <c r="E289" s="414" t="s">
        <v>823</v>
      </c>
      <c r="F289" s="457">
        <v>2</v>
      </c>
      <c r="G289" s="457">
        <v>2090.4899999999998</v>
      </c>
      <c r="H289" s="382">
        <f t="shared" si="26"/>
        <v>2611.6491569999998</v>
      </c>
      <c r="I289" s="383">
        <f t="shared" si="25"/>
        <v>5223.3</v>
      </c>
    </row>
    <row r="290" spans="1:10" x14ac:dyDescent="0.25">
      <c r="A290" s="579" t="s">
        <v>890</v>
      </c>
      <c r="B290" s="608" t="s">
        <v>315</v>
      </c>
      <c r="C290" s="594">
        <v>83488</v>
      </c>
      <c r="D290" s="416" t="s">
        <v>891</v>
      </c>
      <c r="E290" s="414" t="s">
        <v>823</v>
      </c>
      <c r="F290" s="457">
        <v>1</v>
      </c>
      <c r="G290" s="457">
        <v>2090.4899999999998</v>
      </c>
      <c r="H290" s="382">
        <f t="shared" si="26"/>
        <v>2611.6491569999998</v>
      </c>
      <c r="I290" s="383">
        <f t="shared" si="25"/>
        <v>2611.65</v>
      </c>
    </row>
    <row r="291" spans="1:10" x14ac:dyDescent="0.25">
      <c r="A291" s="579" t="s">
        <v>892</v>
      </c>
      <c r="B291" s="608" t="s">
        <v>315</v>
      </c>
      <c r="C291" s="594">
        <v>72255</v>
      </c>
      <c r="D291" s="416" t="s">
        <v>893</v>
      </c>
      <c r="E291" s="414" t="s">
        <v>374</v>
      </c>
      <c r="F291" s="457">
        <v>50</v>
      </c>
      <c r="G291" s="457">
        <v>37.840000000000003</v>
      </c>
      <c r="H291" s="382">
        <f t="shared" si="26"/>
        <v>47.273512000000004</v>
      </c>
      <c r="I291" s="383">
        <f t="shared" si="25"/>
        <v>2363.6799999999998</v>
      </c>
    </row>
    <row r="292" spans="1:10" x14ac:dyDescent="0.25">
      <c r="A292" s="579" t="s">
        <v>894</v>
      </c>
      <c r="B292" s="608" t="s">
        <v>315</v>
      </c>
      <c r="C292" s="595">
        <v>72254</v>
      </c>
      <c r="D292" s="416" t="s">
        <v>895</v>
      </c>
      <c r="E292" s="414" t="s">
        <v>374</v>
      </c>
      <c r="F292" s="457">
        <v>20</v>
      </c>
      <c r="G292" s="457">
        <v>28.77</v>
      </c>
      <c r="H292" s="382">
        <f t="shared" si="26"/>
        <v>35.942360999999998</v>
      </c>
      <c r="I292" s="383">
        <f t="shared" si="25"/>
        <v>718.85</v>
      </c>
    </row>
    <row r="293" spans="1:10" x14ac:dyDescent="0.25">
      <c r="A293" s="579" t="s">
        <v>896</v>
      </c>
      <c r="B293" s="608" t="s">
        <v>315</v>
      </c>
      <c r="C293" s="595">
        <v>72306</v>
      </c>
      <c r="D293" s="416" t="s">
        <v>897</v>
      </c>
      <c r="E293" s="414" t="s">
        <v>823</v>
      </c>
      <c r="F293" s="457">
        <v>1</v>
      </c>
      <c r="G293" s="457">
        <v>134.47</v>
      </c>
      <c r="H293" s="382">
        <f t="shared" si="26"/>
        <v>167.993371</v>
      </c>
      <c r="I293" s="383">
        <f t="shared" si="25"/>
        <v>167.99</v>
      </c>
    </row>
    <row r="294" spans="1:10" x14ac:dyDescent="0.25">
      <c r="A294" s="579" t="s">
        <v>898</v>
      </c>
      <c r="B294" s="608" t="s">
        <v>315</v>
      </c>
      <c r="C294" s="595">
        <v>72316</v>
      </c>
      <c r="D294" s="416" t="s">
        <v>899</v>
      </c>
      <c r="E294" s="414" t="s">
        <v>374</v>
      </c>
      <c r="F294" s="457">
        <v>24</v>
      </c>
      <c r="G294" s="457">
        <v>54.21</v>
      </c>
      <c r="H294" s="382">
        <f t="shared" si="26"/>
        <v>67.724553</v>
      </c>
      <c r="I294" s="383">
        <f t="shared" si="25"/>
        <v>1625.39</v>
      </c>
    </row>
    <row r="295" spans="1:10" x14ac:dyDescent="0.25">
      <c r="A295" s="579" t="s">
        <v>900</v>
      </c>
      <c r="B295" s="608" t="s">
        <v>320</v>
      </c>
      <c r="C295" s="594">
        <v>93012</v>
      </c>
      <c r="D295" s="416" t="s">
        <v>901</v>
      </c>
      <c r="E295" s="414" t="s">
        <v>374</v>
      </c>
      <c r="F295" s="457">
        <v>54</v>
      </c>
      <c r="G295" s="457">
        <v>36.79</v>
      </c>
      <c r="H295" s="382">
        <f t="shared" si="26"/>
        <v>45.961747000000003</v>
      </c>
      <c r="I295" s="383">
        <f t="shared" si="25"/>
        <v>2481.9299999999998</v>
      </c>
    </row>
    <row r="296" spans="1:10" x14ac:dyDescent="0.25">
      <c r="A296" s="579" t="s">
        <v>902</v>
      </c>
      <c r="B296" s="608" t="s">
        <v>315</v>
      </c>
      <c r="C296" s="595">
        <v>72554</v>
      </c>
      <c r="D296" s="416" t="s">
        <v>903</v>
      </c>
      <c r="E296" s="414" t="s">
        <v>823</v>
      </c>
      <c r="F296" s="457">
        <v>1</v>
      </c>
      <c r="G296" s="457">
        <v>548.25</v>
      </c>
      <c r="H296" s="382">
        <f t="shared" si="26"/>
        <v>684.92872499999999</v>
      </c>
      <c r="I296" s="383">
        <f t="shared" si="25"/>
        <v>684.93</v>
      </c>
    </row>
    <row r="297" spans="1:10" x14ac:dyDescent="0.25">
      <c r="A297" s="579" t="s">
        <v>904</v>
      </c>
      <c r="B297" s="608" t="s">
        <v>315</v>
      </c>
      <c r="C297" s="595" t="s">
        <v>382</v>
      </c>
      <c r="D297" s="416" t="s">
        <v>905</v>
      </c>
      <c r="E297" s="414" t="s">
        <v>823</v>
      </c>
      <c r="F297" s="457">
        <v>2</v>
      </c>
      <c r="G297" s="457">
        <v>165.71</v>
      </c>
      <c r="H297" s="382">
        <f t="shared" si="26"/>
        <v>207.021503</v>
      </c>
      <c r="I297" s="383">
        <f t="shared" si="25"/>
        <v>414.04</v>
      </c>
    </row>
    <row r="298" spans="1:10" x14ac:dyDescent="0.25">
      <c r="A298" s="579" t="s">
        <v>906</v>
      </c>
      <c r="B298" s="608" t="s">
        <v>315</v>
      </c>
      <c r="C298" s="595">
        <v>83484</v>
      </c>
      <c r="D298" s="416" t="s">
        <v>907</v>
      </c>
      <c r="E298" s="414" t="s">
        <v>823</v>
      </c>
      <c r="F298" s="457">
        <v>16</v>
      </c>
      <c r="G298" s="457">
        <v>53.37</v>
      </c>
      <c r="H298" s="382">
        <f t="shared" si="26"/>
        <v>66.675140999999996</v>
      </c>
      <c r="I298" s="383">
        <f t="shared" si="25"/>
        <v>1066.8</v>
      </c>
    </row>
    <row r="299" spans="1:10" x14ac:dyDescent="0.25">
      <c r="A299" s="579" t="s">
        <v>908</v>
      </c>
      <c r="B299" s="608" t="s">
        <v>315</v>
      </c>
      <c r="C299" s="594">
        <v>93128</v>
      </c>
      <c r="D299" s="416" t="s">
        <v>909</v>
      </c>
      <c r="E299" s="414" t="s">
        <v>823</v>
      </c>
      <c r="F299" s="457">
        <v>2</v>
      </c>
      <c r="G299" s="457">
        <v>87.1</v>
      </c>
      <c r="H299" s="382">
        <f t="shared" si="26"/>
        <v>108.81402999999999</v>
      </c>
      <c r="I299" s="383">
        <f t="shared" si="25"/>
        <v>217.63</v>
      </c>
    </row>
    <row r="300" spans="1:10" x14ac:dyDescent="0.25">
      <c r="A300" s="579" t="s">
        <v>910</v>
      </c>
      <c r="B300" s="608" t="s">
        <v>315</v>
      </c>
      <c r="C300" s="594" t="s">
        <v>911</v>
      </c>
      <c r="D300" s="416" t="s">
        <v>912</v>
      </c>
      <c r="E300" s="414" t="s">
        <v>823</v>
      </c>
      <c r="F300" s="457">
        <v>1</v>
      </c>
      <c r="G300" s="457">
        <v>96.21</v>
      </c>
      <c r="H300" s="382">
        <f t="shared" si="26"/>
        <v>120.19515299999999</v>
      </c>
      <c r="I300" s="383">
        <f t="shared" si="25"/>
        <v>120.2</v>
      </c>
    </row>
    <row r="301" spans="1:10" x14ac:dyDescent="0.25">
      <c r="A301" s="579" t="s">
        <v>913</v>
      </c>
      <c r="B301" s="608" t="s">
        <v>315</v>
      </c>
      <c r="C301" s="595" t="s">
        <v>807</v>
      </c>
      <c r="D301" s="416" t="s">
        <v>914</v>
      </c>
      <c r="E301" s="414" t="s">
        <v>823</v>
      </c>
      <c r="F301" s="457">
        <v>5</v>
      </c>
      <c r="G301" s="457">
        <v>104.09</v>
      </c>
      <c r="H301" s="382">
        <f t="shared" si="26"/>
        <v>130.039637</v>
      </c>
      <c r="I301" s="383">
        <f t="shared" si="25"/>
        <v>650.20000000000005</v>
      </c>
    </row>
    <row r="302" spans="1:10" x14ac:dyDescent="0.25">
      <c r="A302" s="579" t="s">
        <v>915</v>
      </c>
      <c r="B302" s="624" t="s">
        <v>601</v>
      </c>
      <c r="C302" s="624" t="s">
        <v>1732</v>
      </c>
      <c r="D302" s="416" t="s">
        <v>3456</v>
      </c>
      <c r="E302" s="414" t="s">
        <v>916</v>
      </c>
      <c r="F302" s="457">
        <v>25</v>
      </c>
      <c r="G302" s="457">
        <v>33.32</v>
      </c>
      <c r="H302" s="382">
        <f t="shared" si="26"/>
        <v>41.626676000000003</v>
      </c>
      <c r="I302" s="383">
        <f t="shared" si="25"/>
        <v>1040.67</v>
      </c>
      <c r="J302" s="692"/>
    </row>
    <row r="303" spans="1:10" x14ac:dyDescent="0.25">
      <c r="A303" s="579" t="s">
        <v>917</v>
      </c>
      <c r="B303" s="608" t="s">
        <v>315</v>
      </c>
      <c r="C303" s="595">
        <v>93141</v>
      </c>
      <c r="D303" s="416" t="s">
        <v>918</v>
      </c>
      <c r="E303" s="414" t="s">
        <v>823</v>
      </c>
      <c r="F303" s="457">
        <v>5</v>
      </c>
      <c r="G303" s="457">
        <v>103.33</v>
      </c>
      <c r="H303" s="382">
        <f t="shared" si="26"/>
        <v>129.090169</v>
      </c>
      <c r="I303" s="383">
        <f t="shared" si="25"/>
        <v>645.45000000000005</v>
      </c>
    </row>
    <row r="304" spans="1:10" x14ac:dyDescent="0.25">
      <c r="A304" s="579" t="s">
        <v>919</v>
      </c>
      <c r="B304" s="608" t="s">
        <v>315</v>
      </c>
      <c r="C304" s="595">
        <v>72316</v>
      </c>
      <c r="D304" s="416" t="s">
        <v>920</v>
      </c>
      <c r="E304" s="414" t="s">
        <v>374</v>
      </c>
      <c r="F304" s="457">
        <v>6</v>
      </c>
      <c r="G304" s="457">
        <v>54.21</v>
      </c>
      <c r="H304" s="382">
        <f t="shared" si="26"/>
        <v>67.724553</v>
      </c>
      <c r="I304" s="383">
        <f t="shared" si="25"/>
        <v>406.35</v>
      </c>
    </row>
    <row r="305" spans="1:10" x14ac:dyDescent="0.25">
      <c r="A305" s="579" t="s">
        <v>921</v>
      </c>
      <c r="B305" s="608" t="s">
        <v>315</v>
      </c>
      <c r="C305" s="595">
        <v>72308</v>
      </c>
      <c r="D305" s="416" t="s">
        <v>922</v>
      </c>
      <c r="E305" s="414" t="s">
        <v>374</v>
      </c>
      <c r="F305" s="457">
        <v>12</v>
      </c>
      <c r="G305" s="457">
        <v>18.16</v>
      </c>
      <c r="H305" s="382">
        <f t="shared" si="26"/>
        <v>22.687287999999999</v>
      </c>
      <c r="I305" s="383">
        <f t="shared" si="25"/>
        <v>272.25</v>
      </c>
    </row>
    <row r="306" spans="1:10" x14ac:dyDescent="0.25">
      <c r="A306" s="579" t="s">
        <v>923</v>
      </c>
      <c r="B306" s="608" t="s">
        <v>601</v>
      </c>
      <c r="C306" s="595">
        <v>6534</v>
      </c>
      <c r="D306" s="416" t="s">
        <v>924</v>
      </c>
      <c r="E306" s="414" t="s">
        <v>374</v>
      </c>
      <c r="F306" s="457">
        <v>75</v>
      </c>
      <c r="G306" s="457">
        <v>63</v>
      </c>
      <c r="H306" s="382">
        <f t="shared" si="26"/>
        <v>78.7059</v>
      </c>
      <c r="I306" s="383">
        <f t="shared" si="25"/>
        <v>5902.94</v>
      </c>
    </row>
    <row r="307" spans="1:10" x14ac:dyDescent="0.25">
      <c r="A307" s="580" t="s">
        <v>925</v>
      </c>
      <c r="B307" s="607"/>
      <c r="C307" s="591"/>
      <c r="D307" s="418" t="s">
        <v>926</v>
      </c>
      <c r="E307" s="385"/>
      <c r="F307" s="456"/>
      <c r="G307" s="406"/>
      <c r="H307" s="382"/>
      <c r="I307" s="383"/>
    </row>
    <row r="308" spans="1:10" x14ac:dyDescent="0.25">
      <c r="A308" s="579" t="s">
        <v>927</v>
      </c>
      <c r="B308" s="608" t="s">
        <v>320</v>
      </c>
      <c r="C308" s="594">
        <v>7860</v>
      </c>
      <c r="D308" s="416" t="s">
        <v>928</v>
      </c>
      <c r="E308" s="414" t="s">
        <v>823</v>
      </c>
      <c r="F308" s="457">
        <v>1</v>
      </c>
      <c r="G308" s="457">
        <v>467.02</v>
      </c>
      <c r="H308" s="382">
        <f t="shared" si="26"/>
        <v>583.44808599999999</v>
      </c>
      <c r="I308" s="383">
        <f t="shared" si="25"/>
        <v>583.45000000000005</v>
      </c>
    </row>
    <row r="309" spans="1:10" x14ac:dyDescent="0.25">
      <c r="A309" s="579" t="s">
        <v>929</v>
      </c>
      <c r="B309" s="608" t="s">
        <v>315</v>
      </c>
      <c r="C309" s="594">
        <v>72289</v>
      </c>
      <c r="D309" s="416" t="s">
        <v>930</v>
      </c>
      <c r="E309" s="414" t="s">
        <v>817</v>
      </c>
      <c r="F309" s="457">
        <v>3</v>
      </c>
      <c r="G309" s="457">
        <v>290.74</v>
      </c>
      <c r="H309" s="382">
        <f t="shared" si="26"/>
        <v>363.22148200000004</v>
      </c>
      <c r="I309" s="383">
        <f t="shared" si="25"/>
        <v>1089.6600000000001</v>
      </c>
    </row>
    <row r="310" spans="1:10" x14ac:dyDescent="0.25">
      <c r="A310" s="579" t="s">
        <v>931</v>
      </c>
      <c r="B310" s="608" t="s">
        <v>315</v>
      </c>
      <c r="C310" s="594">
        <v>72290</v>
      </c>
      <c r="D310" s="416" t="s">
        <v>932</v>
      </c>
      <c r="E310" s="414" t="s">
        <v>817</v>
      </c>
      <c r="F310" s="457">
        <v>3</v>
      </c>
      <c r="G310" s="457">
        <v>328.16</v>
      </c>
      <c r="H310" s="382">
        <f t="shared" si="26"/>
        <v>409.97028800000004</v>
      </c>
      <c r="I310" s="383">
        <f t="shared" si="25"/>
        <v>1229.9100000000001</v>
      </c>
    </row>
    <row r="311" spans="1:10" x14ac:dyDescent="0.25">
      <c r="A311" s="579" t="s">
        <v>933</v>
      </c>
      <c r="B311" s="608" t="s">
        <v>315</v>
      </c>
      <c r="C311" s="594">
        <v>72254</v>
      </c>
      <c r="D311" s="416" t="s">
        <v>934</v>
      </c>
      <c r="E311" s="414" t="s">
        <v>374</v>
      </c>
      <c r="F311" s="457">
        <v>45</v>
      </c>
      <c r="G311" s="457">
        <v>28.77</v>
      </c>
      <c r="H311" s="382">
        <f t="shared" si="26"/>
        <v>35.942360999999998</v>
      </c>
      <c r="I311" s="383">
        <f t="shared" ref="I311:I363" si="27">ROUND(H311*F311,2)</f>
        <v>1617.41</v>
      </c>
    </row>
    <row r="312" spans="1:10" x14ac:dyDescent="0.25">
      <c r="A312" s="579" t="s">
        <v>935</v>
      </c>
      <c r="B312" s="608" t="s">
        <v>315</v>
      </c>
      <c r="C312" s="594">
        <v>72310</v>
      </c>
      <c r="D312" s="416" t="s">
        <v>936</v>
      </c>
      <c r="E312" s="414" t="s">
        <v>374</v>
      </c>
      <c r="F312" s="457">
        <v>6</v>
      </c>
      <c r="G312" s="457">
        <v>31.16</v>
      </c>
      <c r="H312" s="382">
        <f t="shared" si="26"/>
        <v>38.928187999999999</v>
      </c>
      <c r="I312" s="383">
        <f t="shared" si="27"/>
        <v>233.57</v>
      </c>
    </row>
    <row r="313" spans="1:10" x14ac:dyDescent="0.25">
      <c r="A313" s="579" t="s">
        <v>937</v>
      </c>
      <c r="B313" s="608" t="s">
        <v>315</v>
      </c>
      <c r="C313" s="594">
        <v>72554</v>
      </c>
      <c r="D313" s="416" t="s">
        <v>903</v>
      </c>
      <c r="E313" s="414" t="s">
        <v>823</v>
      </c>
      <c r="F313" s="457">
        <v>1</v>
      </c>
      <c r="G313" s="457">
        <v>548.25</v>
      </c>
      <c r="H313" s="382">
        <f t="shared" si="26"/>
        <v>684.92872499999999</v>
      </c>
      <c r="I313" s="383">
        <f t="shared" si="27"/>
        <v>684.93</v>
      </c>
    </row>
    <row r="314" spans="1:10" x14ac:dyDescent="0.25">
      <c r="A314" s="579" t="s">
        <v>938</v>
      </c>
      <c r="B314" s="608" t="s">
        <v>315</v>
      </c>
      <c r="C314" s="594" t="s">
        <v>382</v>
      </c>
      <c r="D314" s="416" t="s">
        <v>905</v>
      </c>
      <c r="E314" s="414" t="s">
        <v>823</v>
      </c>
      <c r="F314" s="457">
        <v>1</v>
      </c>
      <c r="G314" s="457">
        <v>165.71</v>
      </c>
      <c r="H314" s="382">
        <f t="shared" si="26"/>
        <v>207.021503</v>
      </c>
      <c r="I314" s="383">
        <f t="shared" si="27"/>
        <v>207.02</v>
      </c>
    </row>
    <row r="315" spans="1:10" x14ac:dyDescent="0.25">
      <c r="A315" s="579" t="s">
        <v>939</v>
      </c>
      <c r="B315" s="608" t="s">
        <v>601</v>
      </c>
      <c r="C315" s="594" t="s">
        <v>940</v>
      </c>
      <c r="D315" s="416" t="s">
        <v>941</v>
      </c>
      <c r="E315" s="414" t="s">
        <v>823</v>
      </c>
      <c r="F315" s="457">
        <v>3</v>
      </c>
      <c r="G315" s="457">
        <v>166354.12</v>
      </c>
      <c r="H315" s="382">
        <f t="shared" si="26"/>
        <v>207826.202116</v>
      </c>
      <c r="I315" s="383">
        <f t="shared" si="27"/>
        <v>623478.61</v>
      </c>
    </row>
    <row r="316" spans="1:10" x14ac:dyDescent="0.25">
      <c r="A316" s="579" t="s">
        <v>942</v>
      </c>
      <c r="B316" s="608" t="s">
        <v>315</v>
      </c>
      <c r="C316" s="594">
        <v>83484</v>
      </c>
      <c r="D316" s="416" t="s">
        <v>907</v>
      </c>
      <c r="E316" s="414" t="s">
        <v>823</v>
      </c>
      <c r="F316" s="457">
        <v>14</v>
      </c>
      <c r="G316" s="457">
        <v>53.37</v>
      </c>
      <c r="H316" s="382">
        <f t="shared" si="26"/>
        <v>66.675140999999996</v>
      </c>
      <c r="I316" s="383">
        <f t="shared" si="27"/>
        <v>933.45</v>
      </c>
    </row>
    <row r="317" spans="1:10" x14ac:dyDescent="0.25">
      <c r="A317" s="579" t="s">
        <v>943</v>
      </c>
      <c r="B317" s="608" t="s">
        <v>315</v>
      </c>
      <c r="C317" s="594">
        <v>93128</v>
      </c>
      <c r="D317" s="416" t="s">
        <v>944</v>
      </c>
      <c r="E317" s="414" t="s">
        <v>823</v>
      </c>
      <c r="F317" s="457">
        <v>1</v>
      </c>
      <c r="G317" s="457">
        <v>87.1</v>
      </c>
      <c r="H317" s="382">
        <f t="shared" si="26"/>
        <v>108.81402999999999</v>
      </c>
      <c r="I317" s="383">
        <f t="shared" si="27"/>
        <v>108.81</v>
      </c>
    </row>
    <row r="318" spans="1:10" x14ac:dyDescent="0.25">
      <c r="A318" s="579" t="s">
        <v>945</v>
      </c>
      <c r="B318" s="608" t="s">
        <v>320</v>
      </c>
      <c r="C318" s="594">
        <v>7780</v>
      </c>
      <c r="D318" s="416" t="s">
        <v>946</v>
      </c>
      <c r="E318" s="414" t="s">
        <v>823</v>
      </c>
      <c r="F318" s="457">
        <v>1</v>
      </c>
      <c r="G318" s="457">
        <v>36.25</v>
      </c>
      <c r="H318" s="382">
        <f t="shared" si="26"/>
        <v>45.287125000000003</v>
      </c>
      <c r="I318" s="383">
        <f t="shared" si="27"/>
        <v>45.29</v>
      </c>
    </row>
    <row r="319" spans="1:10" x14ac:dyDescent="0.25">
      <c r="A319" s="579" t="s">
        <v>947</v>
      </c>
      <c r="B319" s="608" t="s">
        <v>601</v>
      </c>
      <c r="C319" s="594" t="s">
        <v>948</v>
      </c>
      <c r="D319" s="416" t="s">
        <v>949</v>
      </c>
      <c r="E319" s="414" t="s">
        <v>823</v>
      </c>
      <c r="F319" s="457">
        <v>9</v>
      </c>
      <c r="G319" s="457">
        <v>120.96</v>
      </c>
      <c r="H319" s="382">
        <f t="shared" si="26"/>
        <v>151.11532799999998</v>
      </c>
      <c r="I319" s="383">
        <f t="shared" si="27"/>
        <v>1360.04</v>
      </c>
    </row>
    <row r="320" spans="1:10" x14ac:dyDescent="0.25">
      <c r="A320" s="579" t="s">
        <v>950</v>
      </c>
      <c r="B320" s="624" t="s">
        <v>601</v>
      </c>
      <c r="C320" s="624" t="s">
        <v>1732</v>
      </c>
      <c r="D320" s="416" t="s">
        <v>3456</v>
      </c>
      <c r="E320" s="414" t="s">
        <v>374</v>
      </c>
      <c r="F320" s="457">
        <v>40</v>
      </c>
      <c r="G320" s="457">
        <v>33.32</v>
      </c>
      <c r="H320" s="382">
        <f t="shared" si="26"/>
        <v>41.626676000000003</v>
      </c>
      <c r="I320" s="383">
        <f t="shared" si="27"/>
        <v>1665.07</v>
      </c>
      <c r="J320" s="692"/>
    </row>
    <row r="321" spans="1:9" x14ac:dyDescent="0.25">
      <c r="A321" s="579" t="s">
        <v>951</v>
      </c>
      <c r="B321" s="624" t="s">
        <v>315</v>
      </c>
      <c r="C321" s="594">
        <v>93143</v>
      </c>
      <c r="D321" s="416" t="s">
        <v>952</v>
      </c>
      <c r="E321" s="414" t="s">
        <v>823</v>
      </c>
      <c r="F321" s="457">
        <v>3</v>
      </c>
      <c r="G321" s="457">
        <v>106.08</v>
      </c>
      <c r="H321" s="382">
        <f t="shared" si="26"/>
        <v>132.525744</v>
      </c>
      <c r="I321" s="383">
        <f t="shared" si="27"/>
        <v>397.58</v>
      </c>
    </row>
    <row r="322" spans="1:9" x14ac:dyDescent="0.25">
      <c r="A322" s="587"/>
      <c r="B322" s="624"/>
      <c r="C322" s="594"/>
      <c r="D322" s="458" t="s">
        <v>953</v>
      </c>
      <c r="E322" s="414"/>
      <c r="F322" s="457"/>
      <c r="G322" s="457"/>
      <c r="H322" s="382"/>
      <c r="I322" s="383"/>
    </row>
    <row r="323" spans="1:9" x14ac:dyDescent="0.25">
      <c r="A323" s="579" t="s">
        <v>954</v>
      </c>
      <c r="B323" s="624" t="s">
        <v>3525</v>
      </c>
      <c r="C323" s="594">
        <v>9512</v>
      </c>
      <c r="D323" s="416" t="s">
        <v>3526</v>
      </c>
      <c r="E323" s="414" t="s">
        <v>323</v>
      </c>
      <c r="F323" s="457">
        <v>2</v>
      </c>
      <c r="G323" s="457">
        <v>23710.39</v>
      </c>
      <c r="H323" s="382">
        <f t="shared" si="26"/>
        <v>29621.390227</v>
      </c>
      <c r="I323" s="383">
        <f t="shared" si="27"/>
        <v>59242.78</v>
      </c>
    </row>
    <row r="324" spans="1:9" x14ac:dyDescent="0.25">
      <c r="A324" s="587"/>
      <c r="B324" s="624"/>
      <c r="C324" s="594"/>
      <c r="D324" s="458" t="s">
        <v>955</v>
      </c>
      <c r="E324" s="414"/>
      <c r="F324" s="457"/>
      <c r="G324" s="457"/>
      <c r="H324" s="382"/>
      <c r="I324" s="383"/>
    </row>
    <row r="325" spans="1:9" x14ac:dyDescent="0.25">
      <c r="A325" s="579" t="s">
        <v>956</v>
      </c>
      <c r="B325" s="624" t="s">
        <v>320</v>
      </c>
      <c r="C325" s="594">
        <v>9512</v>
      </c>
      <c r="D325" s="416" t="s">
        <v>3526</v>
      </c>
      <c r="E325" s="414" t="s">
        <v>323</v>
      </c>
      <c r="F325" s="457">
        <v>2</v>
      </c>
      <c r="G325" s="457">
        <v>23710.39</v>
      </c>
      <c r="H325" s="382">
        <f t="shared" si="26"/>
        <v>29621.390227</v>
      </c>
      <c r="I325" s="383">
        <f t="shared" si="27"/>
        <v>59242.78</v>
      </c>
    </row>
    <row r="326" spans="1:9" x14ac:dyDescent="0.25">
      <c r="A326" s="587"/>
      <c r="B326" s="624"/>
      <c r="C326" s="594"/>
      <c r="D326" s="458" t="s">
        <v>957</v>
      </c>
      <c r="E326" s="414"/>
      <c r="F326" s="457"/>
      <c r="G326" s="457"/>
      <c r="H326" s="382"/>
      <c r="I326" s="383"/>
    </row>
    <row r="327" spans="1:9" x14ac:dyDescent="0.25">
      <c r="A327" s="579" t="s">
        <v>958</v>
      </c>
      <c r="B327" s="624" t="s">
        <v>315</v>
      </c>
      <c r="C327" s="594">
        <v>91933</v>
      </c>
      <c r="D327" s="416" t="s">
        <v>959</v>
      </c>
      <c r="E327" s="414" t="s">
        <v>374</v>
      </c>
      <c r="F327" s="457">
        <f>2510</f>
        <v>2510</v>
      </c>
      <c r="G327" s="457">
        <v>8.42</v>
      </c>
      <c r="H327" s="382">
        <f t="shared" si="26"/>
        <v>10.519106000000001</v>
      </c>
      <c r="I327" s="383">
        <f t="shared" si="27"/>
        <v>26402.959999999999</v>
      </c>
    </row>
    <row r="328" spans="1:9" x14ac:dyDescent="0.25">
      <c r="A328" s="579" t="s">
        <v>960</v>
      </c>
      <c r="B328" s="608" t="s">
        <v>315</v>
      </c>
      <c r="C328" s="594">
        <v>92994</v>
      </c>
      <c r="D328" s="416" t="s">
        <v>961</v>
      </c>
      <c r="E328" s="414" t="s">
        <v>374</v>
      </c>
      <c r="F328" s="457">
        <f>270</f>
        <v>270</v>
      </c>
      <c r="G328" s="457">
        <v>57.35</v>
      </c>
      <c r="H328" s="382">
        <f t="shared" si="26"/>
        <v>71.647355000000005</v>
      </c>
      <c r="I328" s="383">
        <f t="shared" si="27"/>
        <v>19344.79</v>
      </c>
    </row>
    <row r="329" spans="1:9" x14ac:dyDescent="0.25">
      <c r="A329" s="579" t="s">
        <v>962</v>
      </c>
      <c r="B329" s="608" t="s">
        <v>315</v>
      </c>
      <c r="C329" s="594">
        <v>91935</v>
      </c>
      <c r="D329" s="416" t="s">
        <v>963</v>
      </c>
      <c r="E329" s="414" t="s">
        <v>374</v>
      </c>
      <c r="F329" s="457">
        <f>1190</f>
        <v>1190</v>
      </c>
      <c r="G329" s="457">
        <v>11.91</v>
      </c>
      <c r="H329" s="382">
        <f t="shared" si="26"/>
        <v>14.879163</v>
      </c>
      <c r="I329" s="383">
        <f t="shared" si="27"/>
        <v>17706.2</v>
      </c>
    </row>
    <row r="330" spans="1:9" x14ac:dyDescent="0.25">
      <c r="A330" s="579" t="s">
        <v>964</v>
      </c>
      <c r="B330" s="608" t="s">
        <v>315</v>
      </c>
      <c r="C330" s="594">
        <v>92998</v>
      </c>
      <c r="D330" s="416" t="s">
        <v>965</v>
      </c>
      <c r="E330" s="414" t="s">
        <v>374</v>
      </c>
      <c r="F330" s="457">
        <f>130</f>
        <v>130</v>
      </c>
      <c r="G330" s="457">
        <v>86.58</v>
      </c>
      <c r="H330" s="382">
        <f t="shared" si="26"/>
        <v>108.164394</v>
      </c>
      <c r="I330" s="383">
        <f t="shared" si="27"/>
        <v>14061.37</v>
      </c>
    </row>
    <row r="331" spans="1:9" x14ac:dyDescent="0.2">
      <c r="A331" s="579" t="s">
        <v>966</v>
      </c>
      <c r="B331" s="606" t="s">
        <v>315</v>
      </c>
      <c r="C331" s="590">
        <v>93000</v>
      </c>
      <c r="D331" s="547" t="s">
        <v>967</v>
      </c>
      <c r="E331" s="546" t="s">
        <v>374</v>
      </c>
      <c r="F331" s="395">
        <f>3800</f>
        <v>3800</v>
      </c>
      <c r="G331" s="396">
        <v>112.46</v>
      </c>
      <c r="H331" s="382">
        <f t="shared" si="26"/>
        <v>140.49627799999999</v>
      </c>
      <c r="I331" s="383">
        <f t="shared" si="27"/>
        <v>533885.86</v>
      </c>
    </row>
    <row r="332" spans="1:9" x14ac:dyDescent="0.25">
      <c r="A332" s="579" t="s">
        <v>968</v>
      </c>
      <c r="B332" s="608" t="s">
        <v>315</v>
      </c>
      <c r="C332" s="594">
        <v>92984</v>
      </c>
      <c r="D332" s="416" t="s">
        <v>969</v>
      </c>
      <c r="E332" s="414" t="s">
        <v>374</v>
      </c>
      <c r="F332" s="457">
        <f>3640</f>
        <v>3640</v>
      </c>
      <c r="G332" s="457">
        <v>13.08</v>
      </c>
      <c r="H332" s="382">
        <f t="shared" si="26"/>
        <v>16.340844000000001</v>
      </c>
      <c r="I332" s="383">
        <f t="shared" si="27"/>
        <v>59480.67</v>
      </c>
    </row>
    <row r="333" spans="1:9" x14ac:dyDescent="0.25">
      <c r="A333" s="579" t="s">
        <v>970</v>
      </c>
      <c r="B333" s="608" t="s">
        <v>315</v>
      </c>
      <c r="C333" s="594">
        <v>92986</v>
      </c>
      <c r="D333" s="416" t="s">
        <v>971</v>
      </c>
      <c r="E333" s="414" t="s">
        <v>374</v>
      </c>
      <c r="F333" s="457">
        <f>1890</f>
        <v>1890</v>
      </c>
      <c r="G333" s="457">
        <v>17.61</v>
      </c>
      <c r="H333" s="382">
        <f t="shared" si="26"/>
        <v>22.000173</v>
      </c>
      <c r="I333" s="383">
        <f t="shared" si="27"/>
        <v>41580.33</v>
      </c>
    </row>
    <row r="334" spans="1:9" x14ac:dyDescent="0.25">
      <c r="A334" s="579" t="s">
        <v>972</v>
      </c>
      <c r="B334" s="608" t="s">
        <v>315</v>
      </c>
      <c r="C334" s="594">
        <v>91929</v>
      </c>
      <c r="D334" s="416" t="s">
        <v>973</v>
      </c>
      <c r="E334" s="414" t="s">
        <v>374</v>
      </c>
      <c r="F334" s="457">
        <f>2430</f>
        <v>2430</v>
      </c>
      <c r="G334" s="457">
        <v>3.72</v>
      </c>
      <c r="H334" s="382">
        <f t="shared" si="26"/>
        <v>4.6473960000000005</v>
      </c>
      <c r="I334" s="383">
        <f t="shared" si="27"/>
        <v>11293.17</v>
      </c>
    </row>
    <row r="335" spans="1:9" x14ac:dyDescent="0.25">
      <c r="A335" s="579" t="s">
        <v>974</v>
      </c>
      <c r="B335" s="608" t="s">
        <v>315</v>
      </c>
      <c r="C335" s="594">
        <v>92988</v>
      </c>
      <c r="D335" s="416" t="s">
        <v>975</v>
      </c>
      <c r="E335" s="414" t="s">
        <v>374</v>
      </c>
      <c r="F335" s="457">
        <f>390</f>
        <v>390</v>
      </c>
      <c r="G335" s="457">
        <v>24.61</v>
      </c>
      <c r="H335" s="382">
        <f t="shared" si="26"/>
        <v>30.745272999999997</v>
      </c>
      <c r="I335" s="383">
        <f t="shared" si="27"/>
        <v>11990.66</v>
      </c>
    </row>
    <row r="336" spans="1:9" x14ac:dyDescent="0.25">
      <c r="A336" s="579" t="s">
        <v>976</v>
      </c>
      <c r="B336" s="608" t="s">
        <v>315</v>
      </c>
      <c r="C336" s="594">
        <v>91931</v>
      </c>
      <c r="D336" s="416" t="s">
        <v>977</v>
      </c>
      <c r="E336" s="414" t="s">
        <v>374</v>
      </c>
      <c r="F336" s="457">
        <f>9070</f>
        <v>9070</v>
      </c>
      <c r="G336" s="457">
        <v>5</v>
      </c>
      <c r="H336" s="382">
        <f t="shared" si="26"/>
        <v>6.2465000000000002</v>
      </c>
      <c r="I336" s="383">
        <f t="shared" si="27"/>
        <v>56655.76</v>
      </c>
    </row>
    <row r="337" spans="1:9" x14ac:dyDescent="0.25">
      <c r="A337" s="579" t="s">
        <v>978</v>
      </c>
      <c r="B337" s="608" t="s">
        <v>315</v>
      </c>
      <c r="C337" s="594">
        <v>92990</v>
      </c>
      <c r="D337" s="416" t="s">
        <v>979</v>
      </c>
      <c r="E337" s="414" t="s">
        <v>374</v>
      </c>
      <c r="F337" s="457">
        <f>930</f>
        <v>930</v>
      </c>
      <c r="G337" s="457">
        <v>33.74</v>
      </c>
      <c r="H337" s="382">
        <f t="shared" si="26"/>
        <v>42.151381999999998</v>
      </c>
      <c r="I337" s="383">
        <f t="shared" si="27"/>
        <v>39200.79</v>
      </c>
    </row>
    <row r="338" spans="1:9" x14ac:dyDescent="0.25">
      <c r="A338" s="579" t="s">
        <v>980</v>
      </c>
      <c r="B338" s="608" t="s">
        <v>315</v>
      </c>
      <c r="C338" s="594">
        <v>92992</v>
      </c>
      <c r="D338" s="416" t="s">
        <v>981</v>
      </c>
      <c r="E338" s="414" t="s">
        <v>374</v>
      </c>
      <c r="F338" s="457">
        <f>86</f>
        <v>86</v>
      </c>
      <c r="G338" s="457">
        <v>46.73</v>
      </c>
      <c r="H338" s="382">
        <f t="shared" si="26"/>
        <v>58.379788999999995</v>
      </c>
      <c r="I338" s="383">
        <f t="shared" si="27"/>
        <v>5020.66</v>
      </c>
    </row>
    <row r="339" spans="1:9" x14ac:dyDescent="0.25">
      <c r="A339" s="579" t="s">
        <v>982</v>
      </c>
      <c r="B339" s="608" t="s">
        <v>3527</v>
      </c>
      <c r="C339" s="594">
        <v>8684</v>
      </c>
      <c r="D339" s="416" t="s">
        <v>3528</v>
      </c>
      <c r="E339" s="414" t="s">
        <v>374</v>
      </c>
      <c r="F339" s="457">
        <v>972</v>
      </c>
      <c r="G339" s="457">
        <v>63.81</v>
      </c>
      <c r="H339" s="382">
        <f t="shared" si="26"/>
        <v>79.717832999999999</v>
      </c>
      <c r="I339" s="383">
        <f t="shared" si="27"/>
        <v>77485.73</v>
      </c>
    </row>
    <row r="340" spans="1:9" x14ac:dyDescent="0.25">
      <c r="A340" s="579" t="s">
        <v>984</v>
      </c>
      <c r="B340" s="608" t="s">
        <v>3527</v>
      </c>
      <c r="C340" s="594">
        <v>762</v>
      </c>
      <c r="D340" s="416" t="s">
        <v>3529</v>
      </c>
      <c r="E340" s="414" t="s">
        <v>374</v>
      </c>
      <c r="F340" s="457">
        <v>320</v>
      </c>
      <c r="G340" s="457">
        <v>22.59</v>
      </c>
      <c r="H340" s="382">
        <f t="shared" si="26"/>
        <v>28.221686999999999</v>
      </c>
      <c r="I340" s="383">
        <f t="shared" si="27"/>
        <v>9030.94</v>
      </c>
    </row>
    <row r="341" spans="1:9" x14ac:dyDescent="0.25">
      <c r="A341" s="579" t="s">
        <v>986</v>
      </c>
      <c r="B341" s="608" t="s">
        <v>3527</v>
      </c>
      <c r="C341" s="594">
        <v>764</v>
      </c>
      <c r="D341" s="416" t="s">
        <v>3530</v>
      </c>
      <c r="E341" s="414" t="s">
        <v>374</v>
      </c>
      <c r="F341" s="457">
        <v>72</v>
      </c>
      <c r="G341" s="457">
        <v>46.28</v>
      </c>
      <c r="H341" s="382">
        <f t="shared" si="26"/>
        <v>57.817604000000003</v>
      </c>
      <c r="I341" s="383">
        <f t="shared" si="27"/>
        <v>4162.87</v>
      </c>
    </row>
    <row r="342" spans="1:9" x14ac:dyDescent="0.25">
      <c r="A342" s="579" t="s">
        <v>987</v>
      </c>
      <c r="B342" s="608" t="s">
        <v>315</v>
      </c>
      <c r="C342" s="594">
        <v>93012</v>
      </c>
      <c r="D342" s="416" t="s">
        <v>988</v>
      </c>
      <c r="E342" s="414" t="s">
        <v>374</v>
      </c>
      <c r="F342" s="457">
        <v>120</v>
      </c>
      <c r="G342" s="457">
        <v>27.75</v>
      </c>
      <c r="H342" s="382">
        <f t="shared" si="26"/>
        <v>34.668075000000002</v>
      </c>
      <c r="I342" s="383">
        <f t="shared" si="27"/>
        <v>4160.17</v>
      </c>
    </row>
    <row r="343" spans="1:9" x14ac:dyDescent="0.25">
      <c r="A343" s="579" t="s">
        <v>989</v>
      </c>
      <c r="B343" s="608" t="s">
        <v>315</v>
      </c>
      <c r="C343" s="594">
        <v>91863</v>
      </c>
      <c r="D343" s="416" t="s">
        <v>990</v>
      </c>
      <c r="E343" s="414" t="s">
        <v>374</v>
      </c>
      <c r="F343" s="457">
        <v>142</v>
      </c>
      <c r="G343" s="457">
        <v>4.1500000000000004</v>
      </c>
      <c r="H343" s="382">
        <f t="shared" si="26"/>
        <v>5.1845950000000007</v>
      </c>
      <c r="I343" s="383">
        <f t="shared" si="27"/>
        <v>736.21</v>
      </c>
    </row>
    <row r="344" spans="1:9" x14ac:dyDescent="0.25">
      <c r="A344" s="579" t="s">
        <v>991</v>
      </c>
      <c r="B344" s="608" t="s">
        <v>315</v>
      </c>
      <c r="C344" s="594">
        <v>91864</v>
      </c>
      <c r="D344" s="416" t="s">
        <v>992</v>
      </c>
      <c r="E344" s="414" t="s">
        <v>374</v>
      </c>
      <c r="F344" s="457">
        <v>210</v>
      </c>
      <c r="G344" s="457">
        <v>5.87</v>
      </c>
      <c r="H344" s="382">
        <f t="shared" si="26"/>
        <v>7.3333909999999998</v>
      </c>
      <c r="I344" s="383">
        <f t="shared" si="27"/>
        <v>1540.01</v>
      </c>
    </row>
    <row r="345" spans="1:9" x14ac:dyDescent="0.25">
      <c r="A345" s="579" t="s">
        <v>993</v>
      </c>
      <c r="B345" s="608" t="s">
        <v>315</v>
      </c>
      <c r="C345" s="594">
        <v>91873</v>
      </c>
      <c r="D345" s="416" t="s">
        <v>994</v>
      </c>
      <c r="E345" s="414" t="s">
        <v>374</v>
      </c>
      <c r="F345" s="457">
        <v>30</v>
      </c>
      <c r="G345" s="457">
        <v>10.039999999999999</v>
      </c>
      <c r="H345" s="382">
        <f t="shared" si="26"/>
        <v>12.542971999999999</v>
      </c>
      <c r="I345" s="383">
        <f t="shared" si="27"/>
        <v>376.29</v>
      </c>
    </row>
    <row r="346" spans="1:9" x14ac:dyDescent="0.25">
      <c r="A346" s="579" t="s">
        <v>995</v>
      </c>
      <c r="B346" s="608" t="s">
        <v>315</v>
      </c>
      <c r="C346" s="594">
        <v>93009</v>
      </c>
      <c r="D346" s="416" t="s">
        <v>996</v>
      </c>
      <c r="E346" s="414" t="s">
        <v>374</v>
      </c>
      <c r="F346" s="457">
        <v>9</v>
      </c>
      <c r="G346" s="457">
        <v>11.16</v>
      </c>
      <c r="H346" s="382">
        <f t="shared" si="26"/>
        <v>13.942188</v>
      </c>
      <c r="I346" s="383">
        <f t="shared" si="27"/>
        <v>125.48</v>
      </c>
    </row>
    <row r="347" spans="1:9" x14ac:dyDescent="0.25">
      <c r="A347" s="579" t="s">
        <v>997</v>
      </c>
      <c r="B347" s="608" t="s">
        <v>315</v>
      </c>
      <c r="C347" s="594">
        <v>93010</v>
      </c>
      <c r="D347" s="416" t="s">
        <v>998</v>
      </c>
      <c r="E347" s="414" t="s">
        <v>374</v>
      </c>
      <c r="F347" s="457">
        <v>120</v>
      </c>
      <c r="G347" s="457">
        <v>15.33</v>
      </c>
      <c r="H347" s="382">
        <f t="shared" ref="H347:H410" si="28">G347+(G347*$H$14)</f>
        <v>19.151769000000002</v>
      </c>
      <c r="I347" s="383">
        <f t="shared" si="27"/>
        <v>2298.21</v>
      </c>
    </row>
    <row r="348" spans="1:9" x14ac:dyDescent="0.25">
      <c r="A348" s="579" t="s">
        <v>999</v>
      </c>
      <c r="B348" s="608" t="s">
        <v>315</v>
      </c>
      <c r="C348" s="594">
        <v>93011</v>
      </c>
      <c r="D348" s="416" t="s">
        <v>1000</v>
      </c>
      <c r="E348" s="414" t="s">
        <v>374</v>
      </c>
      <c r="F348" s="457">
        <v>28</v>
      </c>
      <c r="G348" s="457">
        <v>18.61</v>
      </c>
      <c r="H348" s="382">
        <f t="shared" si="28"/>
        <v>23.249472999999998</v>
      </c>
      <c r="I348" s="383">
        <f t="shared" si="27"/>
        <v>650.99</v>
      </c>
    </row>
    <row r="349" spans="1:9" x14ac:dyDescent="0.25">
      <c r="A349" s="579" t="s">
        <v>1001</v>
      </c>
      <c r="B349" s="608" t="s">
        <v>601</v>
      </c>
      <c r="C349" s="594" t="s">
        <v>1002</v>
      </c>
      <c r="D349" s="416" t="s">
        <v>1003</v>
      </c>
      <c r="E349" s="414" t="s">
        <v>323</v>
      </c>
      <c r="F349" s="457">
        <v>2</v>
      </c>
      <c r="G349" s="457">
        <v>16.98</v>
      </c>
      <c r="H349" s="382">
        <f t="shared" si="28"/>
        <v>21.213114000000001</v>
      </c>
      <c r="I349" s="383">
        <f t="shared" si="27"/>
        <v>42.43</v>
      </c>
    </row>
    <row r="350" spans="1:9" x14ac:dyDescent="0.25">
      <c r="A350" s="579" t="s">
        <v>1004</v>
      </c>
      <c r="B350" s="608" t="s">
        <v>601</v>
      </c>
      <c r="C350" s="594" t="s">
        <v>1005</v>
      </c>
      <c r="D350" s="416" t="s">
        <v>1006</v>
      </c>
      <c r="E350" s="414" t="s">
        <v>323</v>
      </c>
      <c r="F350" s="457">
        <v>3</v>
      </c>
      <c r="G350" s="457">
        <v>49.01</v>
      </c>
      <c r="H350" s="382">
        <f t="shared" si="28"/>
        <v>61.228192999999997</v>
      </c>
      <c r="I350" s="383">
        <f t="shared" si="27"/>
        <v>183.68</v>
      </c>
    </row>
    <row r="351" spans="1:9" x14ac:dyDescent="0.25">
      <c r="A351" s="579" t="s">
        <v>1007</v>
      </c>
      <c r="B351" s="608" t="s">
        <v>601</v>
      </c>
      <c r="C351" s="594" t="s">
        <v>1008</v>
      </c>
      <c r="D351" s="416" t="s">
        <v>1009</v>
      </c>
      <c r="E351" s="414" t="s">
        <v>323</v>
      </c>
      <c r="F351" s="457">
        <v>6</v>
      </c>
      <c r="G351" s="457">
        <v>1</v>
      </c>
      <c r="H351" s="382">
        <f t="shared" si="28"/>
        <v>1.2493000000000001</v>
      </c>
      <c r="I351" s="383">
        <f t="shared" si="27"/>
        <v>7.5</v>
      </c>
    </row>
    <row r="352" spans="1:9" x14ac:dyDescent="0.25">
      <c r="A352" s="579" t="s">
        <v>1010</v>
      </c>
      <c r="B352" s="608" t="s">
        <v>315</v>
      </c>
      <c r="C352" s="594">
        <v>72289</v>
      </c>
      <c r="D352" s="416" t="s">
        <v>1011</v>
      </c>
      <c r="E352" s="414" t="s">
        <v>323</v>
      </c>
      <c r="F352" s="457">
        <v>4</v>
      </c>
      <c r="G352" s="457">
        <v>290.74</v>
      </c>
      <c r="H352" s="382">
        <f t="shared" si="28"/>
        <v>363.22148200000004</v>
      </c>
      <c r="I352" s="383">
        <f t="shared" si="27"/>
        <v>1452.89</v>
      </c>
    </row>
    <row r="353" spans="1:9" x14ac:dyDescent="0.25">
      <c r="A353" s="579" t="s">
        <v>1012</v>
      </c>
      <c r="B353" s="608" t="s">
        <v>315</v>
      </c>
      <c r="C353" s="594">
        <v>72290</v>
      </c>
      <c r="D353" s="416" t="s">
        <v>1013</v>
      </c>
      <c r="E353" s="414" t="s">
        <v>323</v>
      </c>
      <c r="F353" s="457">
        <v>2</v>
      </c>
      <c r="G353" s="457">
        <v>328.16</v>
      </c>
      <c r="H353" s="382">
        <f t="shared" si="28"/>
        <v>409.97028800000004</v>
      </c>
      <c r="I353" s="383">
        <f t="shared" si="27"/>
        <v>819.94</v>
      </c>
    </row>
    <row r="354" spans="1:9" x14ac:dyDescent="0.25">
      <c r="A354" s="580" t="s">
        <v>1014</v>
      </c>
      <c r="B354" s="608"/>
      <c r="C354" s="594"/>
      <c r="D354" s="458" t="s">
        <v>1015</v>
      </c>
      <c r="E354" s="414"/>
      <c r="F354" s="457"/>
      <c r="G354" s="457"/>
      <c r="H354" s="382"/>
      <c r="I354" s="383"/>
    </row>
    <row r="355" spans="1:9" x14ac:dyDescent="0.25">
      <c r="A355" s="579" t="s">
        <v>1016</v>
      </c>
      <c r="B355" s="608" t="s">
        <v>315</v>
      </c>
      <c r="C355" s="594" t="s">
        <v>1017</v>
      </c>
      <c r="D355" s="416" t="s">
        <v>1018</v>
      </c>
      <c r="E355" s="414" t="s">
        <v>823</v>
      </c>
      <c r="F355" s="457">
        <v>1</v>
      </c>
      <c r="G355" s="457">
        <v>403.02</v>
      </c>
      <c r="H355" s="382">
        <f t="shared" si="28"/>
        <v>503.492886</v>
      </c>
      <c r="I355" s="383">
        <f t="shared" si="27"/>
        <v>503.49</v>
      </c>
    </row>
    <row r="356" spans="1:9" x14ac:dyDescent="0.25">
      <c r="A356" s="579" t="s">
        <v>1019</v>
      </c>
      <c r="B356" s="608" t="s">
        <v>315</v>
      </c>
      <c r="C356" s="594" t="s">
        <v>1020</v>
      </c>
      <c r="D356" s="416" t="s">
        <v>1021</v>
      </c>
      <c r="E356" s="414" t="s">
        <v>823</v>
      </c>
      <c r="F356" s="457">
        <v>2</v>
      </c>
      <c r="G356" s="457">
        <v>347.77</v>
      </c>
      <c r="H356" s="382">
        <f t="shared" si="28"/>
        <v>434.46906100000001</v>
      </c>
      <c r="I356" s="383">
        <f t="shared" si="27"/>
        <v>868.94</v>
      </c>
    </row>
    <row r="357" spans="1:9" x14ac:dyDescent="0.25">
      <c r="A357" s="579" t="s">
        <v>1022</v>
      </c>
      <c r="B357" s="608" t="s">
        <v>315</v>
      </c>
      <c r="C357" s="594" t="s">
        <v>1020</v>
      </c>
      <c r="D357" s="416" t="s">
        <v>1023</v>
      </c>
      <c r="E357" s="414" t="s">
        <v>823</v>
      </c>
      <c r="F357" s="457">
        <v>8</v>
      </c>
      <c r="G357" s="457">
        <v>347.77</v>
      </c>
      <c r="H357" s="382">
        <f t="shared" si="28"/>
        <v>434.46906100000001</v>
      </c>
      <c r="I357" s="383">
        <f t="shared" si="27"/>
        <v>3475.75</v>
      </c>
    </row>
    <row r="358" spans="1:9" x14ac:dyDescent="0.25">
      <c r="A358" s="579" t="s">
        <v>1024</v>
      </c>
      <c r="B358" s="608" t="s">
        <v>315</v>
      </c>
      <c r="C358" s="594" t="s">
        <v>1020</v>
      </c>
      <c r="D358" s="416" t="s">
        <v>1025</v>
      </c>
      <c r="E358" s="414" t="s">
        <v>823</v>
      </c>
      <c r="F358" s="457">
        <v>1</v>
      </c>
      <c r="G358" s="457">
        <v>347.77</v>
      </c>
      <c r="H358" s="382">
        <f t="shared" si="28"/>
        <v>434.46906100000001</v>
      </c>
      <c r="I358" s="383">
        <f t="shared" si="27"/>
        <v>434.47</v>
      </c>
    </row>
    <row r="359" spans="1:9" x14ac:dyDescent="0.25">
      <c r="A359" s="579" t="s">
        <v>1026</v>
      </c>
      <c r="B359" s="608" t="s">
        <v>315</v>
      </c>
      <c r="C359" s="594" t="s">
        <v>1017</v>
      </c>
      <c r="D359" s="416" t="s">
        <v>1027</v>
      </c>
      <c r="E359" s="414" t="s">
        <v>823</v>
      </c>
      <c r="F359" s="457">
        <v>6</v>
      </c>
      <c r="G359" s="457">
        <v>403.02</v>
      </c>
      <c r="H359" s="382">
        <f t="shared" si="28"/>
        <v>503.492886</v>
      </c>
      <c r="I359" s="383">
        <f t="shared" si="27"/>
        <v>3020.96</v>
      </c>
    </row>
    <row r="360" spans="1:9" x14ac:dyDescent="0.25">
      <c r="A360" s="579" t="s">
        <v>1028</v>
      </c>
      <c r="B360" s="608" t="s">
        <v>315</v>
      </c>
      <c r="C360" s="594" t="s">
        <v>1029</v>
      </c>
      <c r="D360" s="416" t="s">
        <v>1030</v>
      </c>
      <c r="E360" s="414" t="s">
        <v>823</v>
      </c>
      <c r="F360" s="457">
        <v>6</v>
      </c>
      <c r="G360" s="457">
        <v>796.61</v>
      </c>
      <c r="H360" s="382">
        <f t="shared" si="28"/>
        <v>995.20487300000002</v>
      </c>
      <c r="I360" s="383">
        <f t="shared" si="27"/>
        <v>5971.23</v>
      </c>
    </row>
    <row r="361" spans="1:9" x14ac:dyDescent="0.25">
      <c r="A361" s="579" t="s">
        <v>1031</v>
      </c>
      <c r="B361" s="608" t="s">
        <v>315</v>
      </c>
      <c r="C361" s="594" t="s">
        <v>1029</v>
      </c>
      <c r="D361" s="416" t="s">
        <v>1032</v>
      </c>
      <c r="E361" s="414" t="s">
        <v>823</v>
      </c>
      <c r="F361" s="457">
        <v>1</v>
      </c>
      <c r="G361" s="457">
        <v>796.61</v>
      </c>
      <c r="H361" s="382">
        <f t="shared" si="28"/>
        <v>995.20487300000002</v>
      </c>
      <c r="I361" s="383">
        <f t="shared" si="27"/>
        <v>995.2</v>
      </c>
    </row>
    <row r="362" spans="1:9" x14ac:dyDescent="0.25">
      <c r="A362" s="579" t="s">
        <v>1033</v>
      </c>
      <c r="B362" s="608" t="s">
        <v>315</v>
      </c>
      <c r="C362" s="594" t="s">
        <v>1029</v>
      </c>
      <c r="D362" s="416" t="s">
        <v>1034</v>
      </c>
      <c r="E362" s="414" t="s">
        <v>823</v>
      </c>
      <c r="F362" s="457">
        <v>3</v>
      </c>
      <c r="G362" s="457">
        <v>796.61</v>
      </c>
      <c r="H362" s="382">
        <f t="shared" si="28"/>
        <v>995.20487300000002</v>
      </c>
      <c r="I362" s="383">
        <f t="shared" si="27"/>
        <v>2985.61</v>
      </c>
    </row>
    <row r="363" spans="1:9" x14ac:dyDescent="0.25">
      <c r="A363" s="579" t="s">
        <v>1035</v>
      </c>
      <c r="B363" s="608" t="s">
        <v>315</v>
      </c>
      <c r="C363" s="594" t="s">
        <v>1029</v>
      </c>
      <c r="D363" s="416" t="s">
        <v>1036</v>
      </c>
      <c r="E363" s="414" t="s">
        <v>823</v>
      </c>
      <c r="F363" s="457">
        <v>4</v>
      </c>
      <c r="G363" s="457">
        <v>796.61</v>
      </c>
      <c r="H363" s="382">
        <f t="shared" si="28"/>
        <v>995.20487300000002</v>
      </c>
      <c r="I363" s="383">
        <f t="shared" si="27"/>
        <v>3980.82</v>
      </c>
    </row>
    <row r="364" spans="1:9" x14ac:dyDescent="0.25">
      <c r="A364" s="580" t="s">
        <v>1037</v>
      </c>
      <c r="B364" s="608"/>
      <c r="C364" s="594"/>
      <c r="D364" s="458" t="s">
        <v>1038</v>
      </c>
      <c r="E364" s="414"/>
      <c r="F364" s="457"/>
      <c r="G364" s="457"/>
      <c r="H364" s="382"/>
      <c r="I364" s="383"/>
    </row>
    <row r="365" spans="1:9" x14ac:dyDescent="0.25">
      <c r="A365" s="579" t="s">
        <v>1039</v>
      </c>
      <c r="B365" s="608" t="s">
        <v>315</v>
      </c>
      <c r="C365" s="594" t="s">
        <v>1040</v>
      </c>
      <c r="D365" s="416" t="s">
        <v>1041</v>
      </c>
      <c r="E365" s="414" t="s">
        <v>823</v>
      </c>
      <c r="F365" s="457">
        <v>138</v>
      </c>
      <c r="G365" s="457">
        <v>11.21</v>
      </c>
      <c r="H365" s="382">
        <f>G365+(G365*$H$14)</f>
        <v>14.004653000000001</v>
      </c>
      <c r="I365" s="383">
        <f t="shared" ref="I365:I380" si="29">ROUND(H365*F365,2)</f>
        <v>1932.64</v>
      </c>
    </row>
    <row r="366" spans="1:9" x14ac:dyDescent="0.25">
      <c r="A366" s="579" t="s">
        <v>1042</v>
      </c>
      <c r="B366" s="608" t="s">
        <v>315</v>
      </c>
      <c r="C366" s="594" t="s">
        <v>1040</v>
      </c>
      <c r="D366" s="416" t="s">
        <v>1043</v>
      </c>
      <c r="E366" s="414" t="s">
        <v>823</v>
      </c>
      <c r="F366" s="457">
        <v>126</v>
      </c>
      <c r="G366" s="457">
        <v>11.21</v>
      </c>
      <c r="H366" s="382">
        <f t="shared" si="28"/>
        <v>14.004653000000001</v>
      </c>
      <c r="I366" s="383">
        <f t="shared" si="29"/>
        <v>1764.59</v>
      </c>
    </row>
    <row r="367" spans="1:9" x14ac:dyDescent="0.25">
      <c r="A367" s="579" t="s">
        <v>1044</v>
      </c>
      <c r="B367" s="608" t="s">
        <v>315</v>
      </c>
      <c r="C367" s="594" t="s">
        <v>1040</v>
      </c>
      <c r="D367" s="416" t="s">
        <v>1045</v>
      </c>
      <c r="E367" s="414" t="s">
        <v>823</v>
      </c>
      <c r="F367" s="457">
        <v>178</v>
      </c>
      <c r="G367" s="457">
        <v>11.21</v>
      </c>
      <c r="H367" s="382">
        <f t="shared" si="28"/>
        <v>14.004653000000001</v>
      </c>
      <c r="I367" s="383">
        <f t="shared" si="29"/>
        <v>2492.83</v>
      </c>
    </row>
    <row r="368" spans="1:9" x14ac:dyDescent="0.25">
      <c r="A368" s="579" t="s">
        <v>1046</v>
      </c>
      <c r="B368" s="608" t="s">
        <v>315</v>
      </c>
      <c r="C368" s="594" t="s">
        <v>1040</v>
      </c>
      <c r="D368" s="416" t="s">
        <v>1047</v>
      </c>
      <c r="E368" s="414" t="s">
        <v>823</v>
      </c>
      <c r="F368" s="457">
        <v>6</v>
      </c>
      <c r="G368" s="457">
        <v>11.21</v>
      </c>
      <c r="H368" s="382">
        <f t="shared" si="28"/>
        <v>14.004653000000001</v>
      </c>
      <c r="I368" s="383">
        <f t="shared" si="29"/>
        <v>84.03</v>
      </c>
    </row>
    <row r="369" spans="1:9" x14ac:dyDescent="0.25">
      <c r="A369" s="579" t="s">
        <v>1048</v>
      </c>
      <c r="B369" s="608" t="s">
        <v>315</v>
      </c>
      <c r="C369" s="594" t="s">
        <v>1040</v>
      </c>
      <c r="D369" s="416" t="s">
        <v>1049</v>
      </c>
      <c r="E369" s="414" t="s">
        <v>823</v>
      </c>
      <c r="F369" s="457">
        <v>10</v>
      </c>
      <c r="G369" s="457">
        <v>11.21</v>
      </c>
      <c r="H369" s="382">
        <f t="shared" si="28"/>
        <v>14.004653000000001</v>
      </c>
      <c r="I369" s="383">
        <f t="shared" si="29"/>
        <v>140.05000000000001</v>
      </c>
    </row>
    <row r="370" spans="1:9" x14ac:dyDescent="0.25">
      <c r="A370" s="579" t="s">
        <v>1050</v>
      </c>
      <c r="B370" s="608" t="s">
        <v>315</v>
      </c>
      <c r="C370" s="594" t="s">
        <v>1051</v>
      </c>
      <c r="D370" s="416" t="s">
        <v>1052</v>
      </c>
      <c r="E370" s="414" t="s">
        <v>823</v>
      </c>
      <c r="F370" s="457">
        <v>4</v>
      </c>
      <c r="G370" s="457">
        <v>99.07</v>
      </c>
      <c r="H370" s="382">
        <f t="shared" si="28"/>
        <v>123.76815099999999</v>
      </c>
      <c r="I370" s="383">
        <f t="shared" si="29"/>
        <v>495.07</v>
      </c>
    </row>
    <row r="371" spans="1:9" x14ac:dyDescent="0.25">
      <c r="A371" s="579" t="s">
        <v>1053</v>
      </c>
      <c r="B371" s="608" t="s">
        <v>315</v>
      </c>
      <c r="C371" s="594" t="s">
        <v>1054</v>
      </c>
      <c r="D371" s="416" t="s">
        <v>1055</v>
      </c>
      <c r="E371" s="414" t="s">
        <v>823</v>
      </c>
      <c r="F371" s="457">
        <v>1</v>
      </c>
      <c r="G371" s="457">
        <v>286.18</v>
      </c>
      <c r="H371" s="382">
        <f t="shared" si="28"/>
        <v>357.524674</v>
      </c>
      <c r="I371" s="383">
        <f t="shared" si="29"/>
        <v>357.52</v>
      </c>
    </row>
    <row r="372" spans="1:9" x14ac:dyDescent="0.25">
      <c r="A372" s="579" t="s">
        <v>1056</v>
      </c>
      <c r="B372" s="608" t="s">
        <v>315</v>
      </c>
      <c r="C372" s="594" t="s">
        <v>1057</v>
      </c>
      <c r="D372" s="416" t="s">
        <v>1058</v>
      </c>
      <c r="E372" s="414" t="s">
        <v>823</v>
      </c>
      <c r="F372" s="457">
        <v>1</v>
      </c>
      <c r="G372" s="457">
        <v>449.06</v>
      </c>
      <c r="H372" s="382">
        <f t="shared" si="28"/>
        <v>561.01065800000003</v>
      </c>
      <c r="I372" s="383">
        <f t="shared" si="29"/>
        <v>561.01</v>
      </c>
    </row>
    <row r="373" spans="1:9" x14ac:dyDescent="0.25">
      <c r="A373" s="579" t="s">
        <v>1059</v>
      </c>
      <c r="B373" s="608" t="s">
        <v>315</v>
      </c>
      <c r="C373" s="594" t="s">
        <v>1060</v>
      </c>
      <c r="D373" s="416" t="s">
        <v>1061</v>
      </c>
      <c r="E373" s="414" t="s">
        <v>823</v>
      </c>
      <c r="F373" s="457">
        <v>14</v>
      </c>
      <c r="G373" s="457">
        <v>73.540000000000006</v>
      </c>
      <c r="H373" s="382">
        <f t="shared" si="28"/>
        <v>91.873522000000008</v>
      </c>
      <c r="I373" s="383">
        <f t="shared" si="29"/>
        <v>1286.23</v>
      </c>
    </row>
    <row r="374" spans="1:9" x14ac:dyDescent="0.25">
      <c r="A374" s="579" t="s">
        <v>1062</v>
      </c>
      <c r="B374" s="608" t="s">
        <v>315</v>
      </c>
      <c r="C374" s="594" t="s">
        <v>1057</v>
      </c>
      <c r="D374" s="416" t="s">
        <v>1063</v>
      </c>
      <c r="E374" s="414" t="s">
        <v>823</v>
      </c>
      <c r="F374" s="457">
        <v>1</v>
      </c>
      <c r="G374" s="457">
        <v>449.06</v>
      </c>
      <c r="H374" s="382">
        <f t="shared" si="28"/>
        <v>561.01065800000003</v>
      </c>
      <c r="I374" s="383">
        <f t="shared" si="29"/>
        <v>561.01</v>
      </c>
    </row>
    <row r="375" spans="1:9" x14ac:dyDescent="0.25">
      <c r="A375" s="579" t="s">
        <v>1064</v>
      </c>
      <c r="B375" s="608" t="s">
        <v>315</v>
      </c>
      <c r="C375" s="594" t="s">
        <v>1060</v>
      </c>
      <c r="D375" s="416" t="s">
        <v>1065</v>
      </c>
      <c r="E375" s="414" t="s">
        <v>823</v>
      </c>
      <c r="F375" s="457">
        <v>8</v>
      </c>
      <c r="G375" s="457">
        <v>73.540000000000006</v>
      </c>
      <c r="H375" s="382">
        <f t="shared" si="28"/>
        <v>91.873522000000008</v>
      </c>
      <c r="I375" s="383">
        <f t="shared" si="29"/>
        <v>734.99</v>
      </c>
    </row>
    <row r="376" spans="1:9" x14ac:dyDescent="0.25">
      <c r="A376" s="579" t="s">
        <v>1066</v>
      </c>
      <c r="B376" s="608" t="s">
        <v>315</v>
      </c>
      <c r="C376" s="594" t="s">
        <v>1067</v>
      </c>
      <c r="D376" s="416" t="s">
        <v>1068</v>
      </c>
      <c r="E376" s="414" t="s">
        <v>823</v>
      </c>
      <c r="F376" s="457">
        <v>2</v>
      </c>
      <c r="G376" s="457">
        <v>1018.53</v>
      </c>
      <c r="H376" s="382">
        <f t="shared" si="28"/>
        <v>1272.449529</v>
      </c>
      <c r="I376" s="383">
        <f t="shared" si="29"/>
        <v>2544.9</v>
      </c>
    </row>
    <row r="377" spans="1:9" x14ac:dyDescent="0.25">
      <c r="A377" s="579" t="s">
        <v>1069</v>
      </c>
      <c r="B377" s="608" t="s">
        <v>315</v>
      </c>
      <c r="C377" s="594" t="s">
        <v>1060</v>
      </c>
      <c r="D377" s="416" t="s">
        <v>1070</v>
      </c>
      <c r="E377" s="414" t="s">
        <v>823</v>
      </c>
      <c r="F377" s="457">
        <v>14</v>
      </c>
      <c r="G377" s="457">
        <v>73.540000000000006</v>
      </c>
      <c r="H377" s="382">
        <f t="shared" si="28"/>
        <v>91.873522000000008</v>
      </c>
      <c r="I377" s="383">
        <f t="shared" si="29"/>
        <v>1286.23</v>
      </c>
    </row>
    <row r="378" spans="1:9" x14ac:dyDescent="0.25">
      <c r="A378" s="579" t="s">
        <v>1071</v>
      </c>
      <c r="B378" s="608" t="s">
        <v>315</v>
      </c>
      <c r="C378" s="594" t="s">
        <v>1060</v>
      </c>
      <c r="D378" s="416" t="s">
        <v>1072</v>
      </c>
      <c r="E378" s="414" t="s">
        <v>823</v>
      </c>
      <c r="F378" s="457">
        <v>4</v>
      </c>
      <c r="G378" s="457">
        <v>73.540000000000006</v>
      </c>
      <c r="H378" s="382">
        <f t="shared" si="28"/>
        <v>91.873522000000008</v>
      </c>
      <c r="I378" s="383">
        <f t="shared" si="29"/>
        <v>367.49</v>
      </c>
    </row>
    <row r="379" spans="1:9" x14ac:dyDescent="0.25">
      <c r="A379" s="579" t="s">
        <v>1073</v>
      </c>
      <c r="B379" s="608" t="s">
        <v>315</v>
      </c>
      <c r="C379" s="594" t="s">
        <v>1051</v>
      </c>
      <c r="D379" s="416" t="s">
        <v>1074</v>
      </c>
      <c r="E379" s="414" t="s">
        <v>823</v>
      </c>
      <c r="F379" s="457">
        <v>8</v>
      </c>
      <c r="G379" s="457">
        <v>99.07</v>
      </c>
      <c r="H379" s="382">
        <f t="shared" si="28"/>
        <v>123.76815099999999</v>
      </c>
      <c r="I379" s="383">
        <f t="shared" si="29"/>
        <v>990.15</v>
      </c>
    </row>
    <row r="380" spans="1:9" x14ac:dyDescent="0.25">
      <c r="A380" s="579" t="s">
        <v>1075</v>
      </c>
      <c r="B380" s="608" t="s">
        <v>315</v>
      </c>
      <c r="C380" s="594" t="s">
        <v>1051</v>
      </c>
      <c r="D380" s="416" t="s">
        <v>1076</v>
      </c>
      <c r="E380" s="414" t="s">
        <v>823</v>
      </c>
      <c r="F380" s="457">
        <v>7</v>
      </c>
      <c r="G380" s="457">
        <v>99.07</v>
      </c>
      <c r="H380" s="382">
        <f t="shared" si="28"/>
        <v>123.76815099999999</v>
      </c>
      <c r="I380" s="383">
        <f t="shared" si="29"/>
        <v>866.38</v>
      </c>
    </row>
    <row r="381" spans="1:9" x14ac:dyDescent="0.25">
      <c r="A381" s="580"/>
      <c r="B381" s="608"/>
      <c r="C381" s="594"/>
      <c r="D381" s="416"/>
      <c r="E381" s="414"/>
      <c r="F381" s="457"/>
      <c r="G381" s="457"/>
      <c r="H381" s="382"/>
      <c r="I381" s="383"/>
    </row>
    <row r="382" spans="1:9" x14ac:dyDescent="0.25">
      <c r="A382" s="577" t="s">
        <v>1077</v>
      </c>
      <c r="B382" s="604"/>
      <c r="C382" s="588"/>
      <c r="D382" s="446" t="s">
        <v>1078</v>
      </c>
      <c r="E382" s="447"/>
      <c r="F382" s="448"/>
      <c r="G382" s="448"/>
      <c r="H382" s="448"/>
      <c r="I382" s="449">
        <f>SUM(I383:I505)</f>
        <v>576176.42999999993</v>
      </c>
    </row>
    <row r="383" spans="1:9" x14ac:dyDescent="0.25">
      <c r="A383" s="579" t="s">
        <v>1079</v>
      </c>
      <c r="B383" s="608" t="s">
        <v>315</v>
      </c>
      <c r="C383" s="594" t="s">
        <v>1080</v>
      </c>
      <c r="D383" s="452" t="s">
        <v>1081</v>
      </c>
      <c r="E383" s="414" t="s">
        <v>1082</v>
      </c>
      <c r="F383" s="457">
        <v>2</v>
      </c>
      <c r="G383" s="457">
        <v>19.03</v>
      </c>
      <c r="H383" s="382">
        <f t="shared" si="28"/>
        <v>23.774179</v>
      </c>
      <c r="I383" s="383">
        <f t="shared" ref="I383:I439" si="30">ROUND(H383*F383,2)</f>
        <v>47.55</v>
      </c>
    </row>
    <row r="384" spans="1:9" x14ac:dyDescent="0.25">
      <c r="A384" s="579" t="s">
        <v>1083</v>
      </c>
      <c r="B384" s="608" t="s">
        <v>315</v>
      </c>
      <c r="C384" s="594" t="s">
        <v>1084</v>
      </c>
      <c r="D384" s="452" t="s">
        <v>1085</v>
      </c>
      <c r="E384" s="414" t="s">
        <v>1082</v>
      </c>
      <c r="F384" s="457">
        <v>4</v>
      </c>
      <c r="G384" s="457">
        <v>48.28</v>
      </c>
      <c r="H384" s="382">
        <f t="shared" si="28"/>
        <v>60.316203999999999</v>
      </c>
      <c r="I384" s="383">
        <f t="shared" si="30"/>
        <v>241.26</v>
      </c>
    </row>
    <row r="385" spans="1:11" x14ac:dyDescent="0.25">
      <c r="A385" s="579" t="s">
        <v>1086</v>
      </c>
      <c r="B385" s="608" t="s">
        <v>315</v>
      </c>
      <c r="C385" s="594" t="s">
        <v>1087</v>
      </c>
      <c r="D385" s="452" t="s">
        <v>1088</v>
      </c>
      <c r="E385" s="414" t="s">
        <v>1082</v>
      </c>
      <c r="F385" s="457">
        <v>3</v>
      </c>
      <c r="G385" s="457">
        <v>48.28</v>
      </c>
      <c r="H385" s="382">
        <f t="shared" si="28"/>
        <v>60.316203999999999</v>
      </c>
      <c r="I385" s="383">
        <f t="shared" si="30"/>
        <v>180.95</v>
      </c>
    </row>
    <row r="386" spans="1:11" x14ac:dyDescent="0.25">
      <c r="A386" s="579" t="s">
        <v>1089</v>
      </c>
      <c r="B386" s="608" t="s">
        <v>315</v>
      </c>
      <c r="C386" s="594" t="s">
        <v>1090</v>
      </c>
      <c r="D386" s="452" t="s">
        <v>1091</v>
      </c>
      <c r="E386" s="414" t="s">
        <v>1082</v>
      </c>
      <c r="F386" s="457">
        <v>5</v>
      </c>
      <c r="G386" s="457">
        <v>57.1</v>
      </c>
      <c r="H386" s="382">
        <f t="shared" si="28"/>
        <v>71.335030000000003</v>
      </c>
      <c r="I386" s="383">
        <f t="shared" si="30"/>
        <v>356.68</v>
      </c>
      <c r="K386" s="372"/>
    </row>
    <row r="387" spans="1:11" x14ac:dyDescent="0.25">
      <c r="A387" s="579" t="s">
        <v>1092</v>
      </c>
      <c r="B387" s="608" t="s">
        <v>315</v>
      </c>
      <c r="C387" s="594" t="s">
        <v>1093</v>
      </c>
      <c r="D387" s="452" t="s">
        <v>1094</v>
      </c>
      <c r="E387" s="414" t="s">
        <v>1082</v>
      </c>
      <c r="F387" s="457">
        <v>2</v>
      </c>
      <c r="G387" s="457">
        <v>109.02</v>
      </c>
      <c r="H387" s="382">
        <f t="shared" si="28"/>
        <v>136.19868600000001</v>
      </c>
      <c r="I387" s="383">
        <f t="shared" si="30"/>
        <v>272.39999999999998</v>
      </c>
    </row>
    <row r="388" spans="1:11" x14ac:dyDescent="0.25">
      <c r="A388" s="579" t="s">
        <v>1095</v>
      </c>
      <c r="B388" s="608" t="s">
        <v>315</v>
      </c>
      <c r="C388" s="594" t="s">
        <v>1096</v>
      </c>
      <c r="D388" s="452" t="s">
        <v>1097</v>
      </c>
      <c r="E388" s="414" t="s">
        <v>1082</v>
      </c>
      <c r="F388" s="457">
        <v>4</v>
      </c>
      <c r="G388" s="457">
        <v>3.84</v>
      </c>
      <c r="H388" s="382">
        <f t="shared" si="28"/>
        <v>4.7973119999999998</v>
      </c>
      <c r="I388" s="383">
        <f t="shared" si="30"/>
        <v>19.190000000000001</v>
      </c>
    </row>
    <row r="389" spans="1:11" x14ac:dyDescent="0.25">
      <c r="A389" s="579" t="s">
        <v>1098</v>
      </c>
      <c r="B389" s="608" t="s">
        <v>315</v>
      </c>
      <c r="C389" s="594" t="s">
        <v>1099</v>
      </c>
      <c r="D389" s="452" t="s">
        <v>1100</v>
      </c>
      <c r="E389" s="414" t="s">
        <v>1082</v>
      </c>
      <c r="F389" s="457">
        <v>1</v>
      </c>
      <c r="G389" s="457">
        <v>48.74</v>
      </c>
      <c r="H389" s="382">
        <f t="shared" si="28"/>
        <v>60.890882000000005</v>
      </c>
      <c r="I389" s="383">
        <f t="shared" si="30"/>
        <v>60.89</v>
      </c>
    </row>
    <row r="390" spans="1:11" x14ac:dyDescent="0.25">
      <c r="A390" s="579" t="s">
        <v>1101</v>
      </c>
      <c r="B390" s="608" t="s">
        <v>315</v>
      </c>
      <c r="C390" s="594" t="s">
        <v>1102</v>
      </c>
      <c r="D390" s="452" t="s">
        <v>1103</v>
      </c>
      <c r="E390" s="414" t="s">
        <v>1082</v>
      </c>
      <c r="F390" s="457">
        <v>7</v>
      </c>
      <c r="G390" s="457">
        <v>140.79</v>
      </c>
      <c r="H390" s="382">
        <f t="shared" si="28"/>
        <v>175.88894699999997</v>
      </c>
      <c r="I390" s="383">
        <f t="shared" si="30"/>
        <v>1231.22</v>
      </c>
    </row>
    <row r="391" spans="1:11" x14ac:dyDescent="0.25">
      <c r="A391" s="579" t="s">
        <v>1104</v>
      </c>
      <c r="B391" s="608" t="s">
        <v>315</v>
      </c>
      <c r="C391" s="594" t="s">
        <v>1105</v>
      </c>
      <c r="D391" s="452" t="s">
        <v>1106</v>
      </c>
      <c r="E391" s="414" t="s">
        <v>1082</v>
      </c>
      <c r="F391" s="457">
        <v>2</v>
      </c>
      <c r="G391" s="457">
        <v>260.33</v>
      </c>
      <c r="H391" s="382">
        <f t="shared" si="28"/>
        <v>325.23026899999996</v>
      </c>
      <c r="I391" s="383">
        <f t="shared" si="30"/>
        <v>650.46</v>
      </c>
    </row>
    <row r="392" spans="1:11" x14ac:dyDescent="0.25">
      <c r="A392" s="579" t="s">
        <v>1107</v>
      </c>
      <c r="B392" s="608" t="s">
        <v>315</v>
      </c>
      <c r="C392" s="594" t="s">
        <v>1108</v>
      </c>
      <c r="D392" s="452" t="s">
        <v>1109</v>
      </c>
      <c r="E392" s="414" t="s">
        <v>1082</v>
      </c>
      <c r="F392" s="457">
        <v>4</v>
      </c>
      <c r="G392" s="457">
        <v>443.63</v>
      </c>
      <c r="H392" s="382">
        <f t="shared" si="28"/>
        <v>554.22695899999997</v>
      </c>
      <c r="I392" s="383">
        <f t="shared" si="30"/>
        <v>2216.91</v>
      </c>
    </row>
    <row r="393" spans="1:11" x14ac:dyDescent="0.25">
      <c r="A393" s="579" t="s">
        <v>1110</v>
      </c>
      <c r="B393" s="608" t="s">
        <v>315</v>
      </c>
      <c r="C393" s="594" t="s">
        <v>1111</v>
      </c>
      <c r="D393" s="452" t="s">
        <v>1112</v>
      </c>
      <c r="E393" s="414" t="s">
        <v>1082</v>
      </c>
      <c r="F393" s="457">
        <v>2</v>
      </c>
      <c r="G393" s="457">
        <v>67.88</v>
      </c>
      <c r="H393" s="382">
        <f t="shared" si="28"/>
        <v>84.802483999999993</v>
      </c>
      <c r="I393" s="383">
        <f t="shared" si="30"/>
        <v>169.6</v>
      </c>
    </row>
    <row r="394" spans="1:11" x14ac:dyDescent="0.25">
      <c r="A394" s="579" t="s">
        <v>1113</v>
      </c>
      <c r="B394" s="608" t="s">
        <v>315</v>
      </c>
      <c r="C394" s="594" t="s">
        <v>1114</v>
      </c>
      <c r="D394" s="452" t="s">
        <v>1115</v>
      </c>
      <c r="E394" s="414" t="s">
        <v>1082</v>
      </c>
      <c r="F394" s="457">
        <v>5</v>
      </c>
      <c r="G394" s="457">
        <v>136.51</v>
      </c>
      <c r="H394" s="382">
        <f t="shared" si="28"/>
        <v>170.541943</v>
      </c>
      <c r="I394" s="383">
        <f t="shared" si="30"/>
        <v>852.71</v>
      </c>
    </row>
    <row r="395" spans="1:11" x14ac:dyDescent="0.25">
      <c r="A395" s="579" t="s">
        <v>1116</v>
      </c>
      <c r="B395" s="608" t="s">
        <v>315</v>
      </c>
      <c r="C395" s="594" t="s">
        <v>1117</v>
      </c>
      <c r="D395" s="452" t="s">
        <v>1118</v>
      </c>
      <c r="E395" s="414" t="s">
        <v>1082</v>
      </c>
      <c r="F395" s="457">
        <v>1</v>
      </c>
      <c r="G395" s="457">
        <v>71.67</v>
      </c>
      <c r="H395" s="382">
        <f t="shared" si="28"/>
        <v>89.537330999999995</v>
      </c>
      <c r="I395" s="383">
        <f t="shared" si="30"/>
        <v>89.54</v>
      </c>
    </row>
    <row r="396" spans="1:11" x14ac:dyDescent="0.25">
      <c r="A396" s="579" t="s">
        <v>1119</v>
      </c>
      <c r="B396" s="608" t="s">
        <v>315</v>
      </c>
      <c r="C396" s="594" t="s">
        <v>1120</v>
      </c>
      <c r="D396" s="452" t="s">
        <v>1121</v>
      </c>
      <c r="E396" s="414" t="s">
        <v>473</v>
      </c>
      <c r="F396" s="457">
        <v>6.6</v>
      </c>
      <c r="G396" s="457">
        <v>35.17</v>
      </c>
      <c r="H396" s="382">
        <f t="shared" si="28"/>
        <v>43.937881000000004</v>
      </c>
      <c r="I396" s="383">
        <f t="shared" si="30"/>
        <v>289.99</v>
      </c>
    </row>
    <row r="397" spans="1:11" x14ac:dyDescent="0.25">
      <c r="A397" s="579" t="s">
        <v>1122</v>
      </c>
      <c r="B397" s="608" t="s">
        <v>315</v>
      </c>
      <c r="C397" s="594" t="s">
        <v>1123</v>
      </c>
      <c r="D397" s="452" t="s">
        <v>1124</v>
      </c>
      <c r="E397" s="414" t="s">
        <v>1082</v>
      </c>
      <c r="F397" s="457">
        <v>2</v>
      </c>
      <c r="G397" s="457">
        <v>117.33</v>
      </c>
      <c r="H397" s="382">
        <f t="shared" si="28"/>
        <v>146.58036899999999</v>
      </c>
      <c r="I397" s="383">
        <f t="shared" si="30"/>
        <v>293.16000000000003</v>
      </c>
    </row>
    <row r="398" spans="1:11" x14ac:dyDescent="0.25">
      <c r="A398" s="579" t="s">
        <v>1125</v>
      </c>
      <c r="B398" s="608" t="s">
        <v>315</v>
      </c>
      <c r="C398" s="594" t="s">
        <v>1126</v>
      </c>
      <c r="D398" s="452" t="s">
        <v>1127</v>
      </c>
      <c r="E398" s="414" t="s">
        <v>1082</v>
      </c>
      <c r="F398" s="457">
        <v>2</v>
      </c>
      <c r="G398" s="457">
        <v>157.30000000000001</v>
      </c>
      <c r="H398" s="382">
        <f t="shared" si="28"/>
        <v>196.51489000000001</v>
      </c>
      <c r="I398" s="383">
        <f t="shared" si="30"/>
        <v>393.03</v>
      </c>
    </row>
    <row r="399" spans="1:11" x14ac:dyDescent="0.25">
      <c r="A399" s="579" t="s">
        <v>1128</v>
      </c>
      <c r="B399" s="608" t="s">
        <v>315</v>
      </c>
      <c r="C399" s="594" t="s">
        <v>1129</v>
      </c>
      <c r="D399" s="452" t="s">
        <v>1130</v>
      </c>
      <c r="E399" s="414" t="s">
        <v>1082</v>
      </c>
      <c r="F399" s="457">
        <v>2</v>
      </c>
      <c r="G399" s="457">
        <v>289.17</v>
      </c>
      <c r="H399" s="382">
        <f t="shared" si="28"/>
        <v>361.26008100000001</v>
      </c>
      <c r="I399" s="383">
        <f t="shared" si="30"/>
        <v>722.52</v>
      </c>
    </row>
    <row r="400" spans="1:11" x14ac:dyDescent="0.25">
      <c r="A400" s="579" t="s">
        <v>1131</v>
      </c>
      <c r="B400" s="608" t="s">
        <v>315</v>
      </c>
      <c r="C400" s="594" t="s">
        <v>1132</v>
      </c>
      <c r="D400" s="452" t="s">
        <v>1133</v>
      </c>
      <c r="E400" s="414" t="s">
        <v>1082</v>
      </c>
      <c r="F400" s="457">
        <v>2</v>
      </c>
      <c r="G400" s="457">
        <v>445.39</v>
      </c>
      <c r="H400" s="382">
        <f t="shared" si="28"/>
        <v>556.42572699999994</v>
      </c>
      <c r="I400" s="383">
        <f t="shared" si="30"/>
        <v>1112.8499999999999</v>
      </c>
    </row>
    <row r="401" spans="1:10" x14ac:dyDescent="0.25">
      <c r="A401" s="579" t="s">
        <v>1134</v>
      </c>
      <c r="B401" s="608" t="s">
        <v>315</v>
      </c>
      <c r="C401" s="594" t="s">
        <v>1135</v>
      </c>
      <c r="D401" s="452" t="s">
        <v>1136</v>
      </c>
      <c r="E401" s="414" t="s">
        <v>1082</v>
      </c>
      <c r="F401" s="457">
        <v>1</v>
      </c>
      <c r="G401" s="457">
        <v>91.84</v>
      </c>
      <c r="H401" s="382">
        <f t="shared" si="28"/>
        <v>114.73571200000001</v>
      </c>
      <c r="I401" s="383">
        <f t="shared" si="30"/>
        <v>114.74</v>
      </c>
    </row>
    <row r="402" spans="1:10" x14ac:dyDescent="0.25">
      <c r="A402" s="579" t="s">
        <v>1137</v>
      </c>
      <c r="B402" s="608" t="s">
        <v>315</v>
      </c>
      <c r="C402" s="594" t="s">
        <v>1138</v>
      </c>
      <c r="D402" s="452" t="s">
        <v>1139</v>
      </c>
      <c r="E402" s="414" t="s">
        <v>1082</v>
      </c>
      <c r="F402" s="457">
        <v>6</v>
      </c>
      <c r="G402" s="457">
        <v>132.02000000000001</v>
      </c>
      <c r="H402" s="382">
        <f t="shared" si="28"/>
        <v>164.93258600000001</v>
      </c>
      <c r="I402" s="383">
        <f t="shared" si="30"/>
        <v>989.6</v>
      </c>
    </row>
    <row r="403" spans="1:10" x14ac:dyDescent="0.25">
      <c r="A403" s="579" t="s">
        <v>1140</v>
      </c>
      <c r="B403" s="608" t="s">
        <v>315</v>
      </c>
      <c r="C403" s="594">
        <v>92292</v>
      </c>
      <c r="D403" s="452" t="s">
        <v>1141</v>
      </c>
      <c r="E403" s="414" t="s">
        <v>1082</v>
      </c>
      <c r="F403" s="457">
        <v>2</v>
      </c>
      <c r="G403" s="457">
        <v>147.44</v>
      </c>
      <c r="H403" s="382">
        <f t="shared" si="28"/>
        <v>184.19679199999999</v>
      </c>
      <c r="I403" s="383">
        <f t="shared" si="30"/>
        <v>368.39</v>
      </c>
    </row>
    <row r="404" spans="1:10" x14ac:dyDescent="0.25">
      <c r="A404" s="579" t="s">
        <v>1142</v>
      </c>
      <c r="B404" s="608" t="s">
        <v>315</v>
      </c>
      <c r="C404" s="594">
        <v>94792</v>
      </c>
      <c r="D404" s="452" t="s">
        <v>1143</v>
      </c>
      <c r="E404" s="414" t="s">
        <v>1082</v>
      </c>
      <c r="F404" s="457">
        <v>292</v>
      </c>
      <c r="G404" s="457">
        <v>74.760000000000005</v>
      </c>
      <c r="H404" s="382">
        <f t="shared" si="28"/>
        <v>93.39766800000001</v>
      </c>
      <c r="I404" s="383">
        <f t="shared" si="30"/>
        <v>27272.12</v>
      </c>
    </row>
    <row r="405" spans="1:10" x14ac:dyDescent="0.25">
      <c r="A405" s="579" t="s">
        <v>1144</v>
      </c>
      <c r="B405" s="608" t="s">
        <v>315</v>
      </c>
      <c r="C405" s="594" t="s">
        <v>1145</v>
      </c>
      <c r="D405" s="452" t="s">
        <v>1146</v>
      </c>
      <c r="E405" s="414" t="s">
        <v>1082</v>
      </c>
      <c r="F405" s="457">
        <v>1</v>
      </c>
      <c r="G405" s="457">
        <v>311.14999999999998</v>
      </c>
      <c r="H405" s="382">
        <f t="shared" si="28"/>
        <v>388.719695</v>
      </c>
      <c r="I405" s="383">
        <f t="shared" si="30"/>
        <v>388.72</v>
      </c>
    </row>
    <row r="406" spans="1:10" x14ac:dyDescent="0.25">
      <c r="A406" s="579" t="s">
        <v>1147</v>
      </c>
      <c r="B406" s="608" t="s">
        <v>315</v>
      </c>
      <c r="C406" s="594" t="s">
        <v>1148</v>
      </c>
      <c r="D406" s="452" t="s">
        <v>1149</v>
      </c>
      <c r="E406" s="414" t="s">
        <v>473</v>
      </c>
      <c r="F406" s="457">
        <v>6</v>
      </c>
      <c r="G406" s="457">
        <v>3.11</v>
      </c>
      <c r="H406" s="382">
        <f t="shared" si="28"/>
        <v>3.8853229999999996</v>
      </c>
      <c r="I406" s="383">
        <f t="shared" si="30"/>
        <v>23.31</v>
      </c>
    </row>
    <row r="407" spans="1:10" x14ac:dyDescent="0.25">
      <c r="A407" s="579" t="s">
        <v>1150</v>
      </c>
      <c r="B407" s="608" t="s">
        <v>601</v>
      </c>
      <c r="C407" s="594" t="s">
        <v>1151</v>
      </c>
      <c r="D407" s="452" t="s">
        <v>1152</v>
      </c>
      <c r="E407" s="414" t="s">
        <v>473</v>
      </c>
      <c r="F407" s="457">
        <v>26.4</v>
      </c>
      <c r="G407" s="457">
        <v>199.36</v>
      </c>
      <c r="H407" s="382">
        <f t="shared" si="28"/>
        <v>249.06044800000001</v>
      </c>
      <c r="I407" s="383">
        <f t="shared" si="30"/>
        <v>6575.2</v>
      </c>
    </row>
    <row r="408" spans="1:10" x14ac:dyDescent="0.25">
      <c r="A408" s="579" t="s">
        <v>1153</v>
      </c>
      <c r="B408" s="608" t="s">
        <v>315</v>
      </c>
      <c r="C408" s="594" t="s">
        <v>1154</v>
      </c>
      <c r="D408" s="452" t="s">
        <v>1155</v>
      </c>
      <c r="E408" s="414" t="s">
        <v>1082</v>
      </c>
      <c r="F408" s="457">
        <v>1</v>
      </c>
      <c r="G408" s="457">
        <v>152.80000000000001</v>
      </c>
      <c r="H408" s="382">
        <f t="shared" si="28"/>
        <v>190.89304000000001</v>
      </c>
      <c r="I408" s="383">
        <f t="shared" si="30"/>
        <v>190.89</v>
      </c>
    </row>
    <row r="409" spans="1:10" x14ac:dyDescent="0.25">
      <c r="A409" s="579" t="s">
        <v>1156</v>
      </c>
      <c r="B409" s="608" t="s">
        <v>315</v>
      </c>
      <c r="C409" s="594">
        <v>94498</v>
      </c>
      <c r="D409" s="452" t="s">
        <v>1157</v>
      </c>
      <c r="E409" s="414" t="s">
        <v>1082</v>
      </c>
      <c r="F409" s="457">
        <v>1</v>
      </c>
      <c r="G409" s="457">
        <v>90.52</v>
      </c>
      <c r="H409" s="382">
        <f t="shared" si="28"/>
        <v>113.086636</v>
      </c>
      <c r="I409" s="383">
        <f t="shared" si="30"/>
        <v>113.09</v>
      </c>
    </row>
    <row r="410" spans="1:10" x14ac:dyDescent="0.25">
      <c r="A410" s="579" t="s">
        <v>1158</v>
      </c>
      <c r="B410" s="608" t="s">
        <v>315</v>
      </c>
      <c r="C410" s="594" t="s">
        <v>1159</v>
      </c>
      <c r="D410" s="452" t="s">
        <v>1160</v>
      </c>
      <c r="E410" s="414" t="s">
        <v>1082</v>
      </c>
      <c r="F410" s="457">
        <v>2</v>
      </c>
      <c r="G410" s="457">
        <v>4153.7299999999996</v>
      </c>
      <c r="H410" s="382">
        <f t="shared" si="28"/>
        <v>5189.2548889999998</v>
      </c>
      <c r="I410" s="383">
        <f t="shared" si="30"/>
        <v>10378.51</v>
      </c>
    </row>
    <row r="411" spans="1:10" ht="28.5" x14ac:dyDescent="0.25">
      <c r="A411" s="579" t="s">
        <v>1161</v>
      </c>
      <c r="B411" s="624" t="s">
        <v>315</v>
      </c>
      <c r="C411" s="594" t="s">
        <v>1162</v>
      </c>
      <c r="D411" s="452" t="s">
        <v>1163</v>
      </c>
      <c r="E411" s="414" t="s">
        <v>473</v>
      </c>
      <c r="F411" s="457">
        <v>1634.3600000000001</v>
      </c>
      <c r="G411" s="457">
        <v>12.52</v>
      </c>
      <c r="H411" s="382">
        <f t="shared" ref="H411:H474" si="31">G411+(G411*$H$14)</f>
        <v>15.641235999999999</v>
      </c>
      <c r="I411" s="383">
        <f t="shared" si="30"/>
        <v>25563.41</v>
      </c>
      <c r="J411" s="691"/>
    </row>
    <row r="412" spans="1:10" ht="28.5" x14ac:dyDescent="0.25">
      <c r="A412" s="579" t="s">
        <v>1164</v>
      </c>
      <c r="B412" s="608" t="s">
        <v>315</v>
      </c>
      <c r="C412" s="594" t="s">
        <v>1165</v>
      </c>
      <c r="D412" s="452" t="s">
        <v>1166</v>
      </c>
      <c r="E412" s="414" t="s">
        <v>1082</v>
      </c>
      <c r="F412" s="457">
        <v>617</v>
      </c>
      <c r="G412" s="457">
        <v>5.23</v>
      </c>
      <c r="H412" s="382">
        <f t="shared" si="31"/>
        <v>6.5338390000000004</v>
      </c>
      <c r="I412" s="383">
        <f t="shared" si="30"/>
        <v>4031.38</v>
      </c>
    </row>
    <row r="413" spans="1:10" ht="28.5" x14ac:dyDescent="0.25">
      <c r="A413" s="579" t="s">
        <v>1167</v>
      </c>
      <c r="B413" s="608" t="s">
        <v>315</v>
      </c>
      <c r="C413" s="594" t="s">
        <v>1168</v>
      </c>
      <c r="D413" s="452" t="s">
        <v>1169</v>
      </c>
      <c r="E413" s="414" t="s">
        <v>1082</v>
      </c>
      <c r="F413" s="457">
        <v>402</v>
      </c>
      <c r="G413" s="457">
        <v>9.25</v>
      </c>
      <c r="H413" s="382">
        <f t="shared" si="31"/>
        <v>11.556025</v>
      </c>
      <c r="I413" s="383">
        <f t="shared" si="30"/>
        <v>4645.5200000000004</v>
      </c>
    </row>
    <row r="414" spans="1:10" ht="28.5" x14ac:dyDescent="0.25">
      <c r="A414" s="579" t="s">
        <v>1170</v>
      </c>
      <c r="B414" s="608" t="s">
        <v>315</v>
      </c>
      <c r="C414" s="594" t="s">
        <v>1171</v>
      </c>
      <c r="D414" s="452" t="s">
        <v>1172</v>
      </c>
      <c r="E414" s="414" t="s">
        <v>1082</v>
      </c>
      <c r="F414" s="457">
        <v>9</v>
      </c>
      <c r="G414" s="457">
        <v>11.64</v>
      </c>
      <c r="H414" s="382">
        <f t="shared" si="31"/>
        <v>14.541852</v>
      </c>
      <c r="I414" s="383">
        <f t="shared" si="30"/>
        <v>130.88</v>
      </c>
    </row>
    <row r="415" spans="1:10" ht="28.5" x14ac:dyDescent="0.25">
      <c r="A415" s="579" t="s">
        <v>1173</v>
      </c>
      <c r="B415" s="608" t="s">
        <v>315</v>
      </c>
      <c r="C415" s="594" t="s">
        <v>1174</v>
      </c>
      <c r="D415" s="452" t="s">
        <v>1175</v>
      </c>
      <c r="E415" s="414" t="s">
        <v>1082</v>
      </c>
      <c r="F415" s="457">
        <v>18</v>
      </c>
      <c r="G415" s="457">
        <v>8.15</v>
      </c>
      <c r="H415" s="382">
        <f t="shared" si="31"/>
        <v>10.181795000000001</v>
      </c>
      <c r="I415" s="383">
        <f t="shared" si="30"/>
        <v>183.27</v>
      </c>
    </row>
    <row r="416" spans="1:10" ht="33.75" customHeight="1" x14ac:dyDescent="0.25">
      <c r="A416" s="579" t="s">
        <v>1176</v>
      </c>
      <c r="B416" s="624" t="s">
        <v>315</v>
      </c>
      <c r="C416" s="594" t="s">
        <v>1177</v>
      </c>
      <c r="D416" s="452" t="s">
        <v>1178</v>
      </c>
      <c r="E416" s="414" t="s">
        <v>473</v>
      </c>
      <c r="F416" s="457">
        <v>867.24</v>
      </c>
      <c r="G416" s="457">
        <v>9.7100000000000009</v>
      </c>
      <c r="H416" s="382">
        <f t="shared" si="31"/>
        <v>12.130703</v>
      </c>
      <c r="I416" s="383">
        <f t="shared" si="30"/>
        <v>10520.23</v>
      </c>
      <c r="J416" s="691"/>
    </row>
    <row r="417" spans="1:10" ht="34.5" customHeight="1" x14ac:dyDescent="0.25">
      <c r="A417" s="579" t="s">
        <v>1179</v>
      </c>
      <c r="B417" s="624" t="s">
        <v>315</v>
      </c>
      <c r="C417" s="594" t="s">
        <v>1180</v>
      </c>
      <c r="D417" s="452" t="s">
        <v>1181</v>
      </c>
      <c r="E417" s="414" t="s">
        <v>473</v>
      </c>
      <c r="F417" s="457">
        <v>340.26000000000005</v>
      </c>
      <c r="G417" s="457">
        <v>14.82</v>
      </c>
      <c r="H417" s="382">
        <f t="shared" si="31"/>
        <v>18.514626</v>
      </c>
      <c r="I417" s="383">
        <f t="shared" si="30"/>
        <v>6299.79</v>
      </c>
      <c r="J417" s="691"/>
    </row>
    <row r="418" spans="1:10" ht="34.5" customHeight="1" x14ac:dyDescent="0.25">
      <c r="A418" s="579" t="s">
        <v>1182</v>
      </c>
      <c r="B418" s="624" t="s">
        <v>315</v>
      </c>
      <c r="C418" s="594" t="s">
        <v>1183</v>
      </c>
      <c r="D418" s="452" t="s">
        <v>1184</v>
      </c>
      <c r="E418" s="414" t="s">
        <v>473</v>
      </c>
      <c r="F418" s="457">
        <v>144.79000000000002</v>
      </c>
      <c r="G418" s="457">
        <v>20.64</v>
      </c>
      <c r="H418" s="382">
        <f t="shared" si="31"/>
        <v>25.785552000000003</v>
      </c>
      <c r="I418" s="383">
        <f t="shared" si="30"/>
        <v>3733.49</v>
      </c>
      <c r="J418" s="691"/>
    </row>
    <row r="419" spans="1:10" ht="28.5" x14ac:dyDescent="0.25">
      <c r="A419" s="579" t="s">
        <v>1185</v>
      </c>
      <c r="B419" s="608" t="s">
        <v>315</v>
      </c>
      <c r="C419" s="594" t="s">
        <v>1186</v>
      </c>
      <c r="D419" s="452" t="s">
        <v>1187</v>
      </c>
      <c r="E419" s="414" t="s">
        <v>1082</v>
      </c>
      <c r="F419" s="457">
        <v>6</v>
      </c>
      <c r="G419" s="457">
        <v>3.12</v>
      </c>
      <c r="H419" s="382">
        <f t="shared" si="31"/>
        <v>3.8978160000000002</v>
      </c>
      <c r="I419" s="383">
        <f t="shared" si="30"/>
        <v>23.39</v>
      </c>
    </row>
    <row r="420" spans="1:10" ht="28.5" x14ac:dyDescent="0.25">
      <c r="A420" s="579" t="s">
        <v>1188</v>
      </c>
      <c r="B420" s="608" t="s">
        <v>315</v>
      </c>
      <c r="C420" s="594" t="s">
        <v>1189</v>
      </c>
      <c r="D420" s="452" t="s">
        <v>1190</v>
      </c>
      <c r="E420" s="414" t="s">
        <v>1082</v>
      </c>
      <c r="F420" s="457">
        <v>106</v>
      </c>
      <c r="G420" s="457">
        <v>8.01</v>
      </c>
      <c r="H420" s="382">
        <f t="shared" si="31"/>
        <v>10.006893</v>
      </c>
      <c r="I420" s="383">
        <f t="shared" si="30"/>
        <v>1060.73</v>
      </c>
    </row>
    <row r="421" spans="1:10" ht="28.5" x14ac:dyDescent="0.25">
      <c r="A421" s="579" t="s">
        <v>1191</v>
      </c>
      <c r="B421" s="608" t="s">
        <v>315</v>
      </c>
      <c r="C421" s="594" t="s">
        <v>1192</v>
      </c>
      <c r="D421" s="452" t="s">
        <v>1193</v>
      </c>
      <c r="E421" s="414" t="s">
        <v>1082</v>
      </c>
      <c r="F421" s="457">
        <v>17</v>
      </c>
      <c r="G421" s="457">
        <v>8.8000000000000007</v>
      </c>
      <c r="H421" s="382">
        <f t="shared" si="31"/>
        <v>10.993840000000001</v>
      </c>
      <c r="I421" s="383">
        <f t="shared" si="30"/>
        <v>186.9</v>
      </c>
    </row>
    <row r="422" spans="1:10" ht="28.5" x14ac:dyDescent="0.25">
      <c r="A422" s="579" t="s">
        <v>1194</v>
      </c>
      <c r="B422" s="608" t="s">
        <v>315</v>
      </c>
      <c r="C422" s="594" t="s">
        <v>1195</v>
      </c>
      <c r="D422" s="452" t="s">
        <v>1196</v>
      </c>
      <c r="E422" s="414" t="s">
        <v>1082</v>
      </c>
      <c r="F422" s="457">
        <v>31</v>
      </c>
      <c r="G422" s="457">
        <v>21.54</v>
      </c>
      <c r="H422" s="382">
        <f t="shared" si="31"/>
        <v>26.909921999999998</v>
      </c>
      <c r="I422" s="383">
        <f t="shared" si="30"/>
        <v>834.21</v>
      </c>
    </row>
    <row r="423" spans="1:10" ht="28.5" x14ac:dyDescent="0.25">
      <c r="A423" s="579" t="s">
        <v>1197</v>
      </c>
      <c r="B423" s="608" t="s">
        <v>315</v>
      </c>
      <c r="C423" s="594" t="s">
        <v>1198</v>
      </c>
      <c r="D423" s="452" t="s">
        <v>1199</v>
      </c>
      <c r="E423" s="414" t="s">
        <v>1082</v>
      </c>
      <c r="F423" s="457">
        <v>2</v>
      </c>
      <c r="G423" s="457">
        <v>58.29</v>
      </c>
      <c r="H423" s="382">
        <f t="shared" si="31"/>
        <v>72.821697</v>
      </c>
      <c r="I423" s="383">
        <f t="shared" si="30"/>
        <v>145.63999999999999</v>
      </c>
    </row>
    <row r="424" spans="1:10" ht="28.5" x14ac:dyDescent="0.25">
      <c r="A424" s="579" t="s">
        <v>1200</v>
      </c>
      <c r="B424" s="608" t="s">
        <v>315</v>
      </c>
      <c r="C424" s="594" t="s">
        <v>1201</v>
      </c>
      <c r="D424" s="452" t="s">
        <v>1202</v>
      </c>
      <c r="E424" s="414" t="s">
        <v>1082</v>
      </c>
      <c r="F424" s="457">
        <v>88</v>
      </c>
      <c r="G424" s="457">
        <v>12.08</v>
      </c>
      <c r="H424" s="382">
        <f t="shared" si="31"/>
        <v>15.091543999999999</v>
      </c>
      <c r="I424" s="383">
        <f t="shared" si="30"/>
        <v>1328.06</v>
      </c>
    </row>
    <row r="425" spans="1:10" ht="28.5" x14ac:dyDescent="0.25">
      <c r="A425" s="579" t="s">
        <v>1203</v>
      </c>
      <c r="B425" s="608" t="s">
        <v>315</v>
      </c>
      <c r="C425" s="594" t="s">
        <v>1204</v>
      </c>
      <c r="D425" s="452" t="s">
        <v>1205</v>
      </c>
      <c r="E425" s="414" t="s">
        <v>1082</v>
      </c>
      <c r="F425" s="457">
        <v>106</v>
      </c>
      <c r="G425" s="457">
        <v>196.07</v>
      </c>
      <c r="H425" s="382">
        <f t="shared" si="31"/>
        <v>244.95025099999998</v>
      </c>
      <c r="I425" s="383">
        <f t="shared" si="30"/>
        <v>25964.73</v>
      </c>
    </row>
    <row r="426" spans="1:10" ht="28.5" x14ac:dyDescent="0.25">
      <c r="A426" s="579" t="s">
        <v>1206</v>
      </c>
      <c r="B426" s="608" t="s">
        <v>315</v>
      </c>
      <c r="C426" s="594" t="s">
        <v>1207</v>
      </c>
      <c r="D426" s="452" t="s">
        <v>1208</v>
      </c>
      <c r="E426" s="414" t="s">
        <v>1082</v>
      </c>
      <c r="F426" s="457">
        <v>242</v>
      </c>
      <c r="G426" s="457">
        <v>48.72</v>
      </c>
      <c r="H426" s="382">
        <f t="shared" si="31"/>
        <v>60.865895999999999</v>
      </c>
      <c r="I426" s="383">
        <f t="shared" si="30"/>
        <v>14729.55</v>
      </c>
    </row>
    <row r="427" spans="1:10" ht="28.5" x14ac:dyDescent="0.25">
      <c r="A427" s="579" t="s">
        <v>1209</v>
      </c>
      <c r="B427" s="608" t="s">
        <v>315</v>
      </c>
      <c r="C427" s="594" t="s">
        <v>1210</v>
      </c>
      <c r="D427" s="452" t="s">
        <v>1211</v>
      </c>
      <c r="E427" s="414" t="s">
        <v>1082</v>
      </c>
      <c r="F427" s="457">
        <v>128</v>
      </c>
      <c r="G427" s="457">
        <v>51.21</v>
      </c>
      <c r="H427" s="382">
        <f t="shared" si="31"/>
        <v>63.976652999999999</v>
      </c>
      <c r="I427" s="383">
        <f t="shared" si="30"/>
        <v>8189.01</v>
      </c>
    </row>
    <row r="428" spans="1:10" x14ac:dyDescent="0.25">
      <c r="A428" s="579" t="s">
        <v>1212</v>
      </c>
      <c r="B428" s="608" t="s">
        <v>315</v>
      </c>
      <c r="C428" s="594" t="s">
        <v>1213</v>
      </c>
      <c r="D428" s="452" t="s">
        <v>1214</v>
      </c>
      <c r="E428" s="414" t="s">
        <v>473</v>
      </c>
      <c r="F428" s="457">
        <v>4922.83</v>
      </c>
      <c r="G428" s="457">
        <v>7.57</v>
      </c>
      <c r="H428" s="382">
        <f t="shared" si="31"/>
        <v>9.4572010000000013</v>
      </c>
      <c r="I428" s="383">
        <f t="shared" si="30"/>
        <v>46556.19</v>
      </c>
    </row>
    <row r="429" spans="1:10" ht="28.5" x14ac:dyDescent="0.25">
      <c r="A429" s="579" t="s">
        <v>1215</v>
      </c>
      <c r="B429" s="608" t="s">
        <v>315</v>
      </c>
      <c r="C429" s="594" t="s">
        <v>1216</v>
      </c>
      <c r="D429" s="452" t="s">
        <v>1217</v>
      </c>
      <c r="E429" s="414" t="s">
        <v>473</v>
      </c>
      <c r="F429" s="457">
        <v>4922.83</v>
      </c>
      <c r="G429" s="457">
        <v>7.61</v>
      </c>
      <c r="H429" s="382">
        <f t="shared" si="31"/>
        <v>9.5071729999999999</v>
      </c>
      <c r="I429" s="383">
        <f t="shared" si="30"/>
        <v>46802.2</v>
      </c>
    </row>
    <row r="430" spans="1:10" ht="28.5" x14ac:dyDescent="0.25">
      <c r="A430" s="579" t="s">
        <v>1218</v>
      </c>
      <c r="B430" s="624" t="s">
        <v>315</v>
      </c>
      <c r="C430" s="594" t="s">
        <v>1219</v>
      </c>
      <c r="D430" s="452" t="s">
        <v>1220</v>
      </c>
      <c r="E430" s="414" t="s">
        <v>473</v>
      </c>
      <c r="F430" s="457">
        <v>38.020000000000003</v>
      </c>
      <c r="G430" s="457">
        <v>23.2</v>
      </c>
      <c r="H430" s="382">
        <f t="shared" si="31"/>
        <v>28.98376</v>
      </c>
      <c r="I430" s="383">
        <f t="shared" si="30"/>
        <v>1101.96</v>
      </c>
      <c r="J430" s="691"/>
    </row>
    <row r="431" spans="1:10" ht="28.5" x14ac:dyDescent="0.25">
      <c r="A431" s="579" t="s">
        <v>1221</v>
      </c>
      <c r="B431" s="608" t="s">
        <v>315</v>
      </c>
      <c r="C431" s="594" t="s">
        <v>1222</v>
      </c>
      <c r="D431" s="452" t="s">
        <v>1223</v>
      </c>
      <c r="E431" s="414" t="s">
        <v>1082</v>
      </c>
      <c r="F431" s="457">
        <v>4</v>
      </c>
      <c r="G431" s="457">
        <v>31.46</v>
      </c>
      <c r="H431" s="382">
        <f t="shared" si="31"/>
        <v>39.302978000000003</v>
      </c>
      <c r="I431" s="383">
        <f t="shared" si="30"/>
        <v>157.21</v>
      </c>
    </row>
    <row r="432" spans="1:10" ht="28.5" x14ac:dyDescent="0.25">
      <c r="A432" s="579" t="s">
        <v>1224</v>
      </c>
      <c r="B432" s="608" t="s">
        <v>315</v>
      </c>
      <c r="C432" s="594" t="s">
        <v>1225</v>
      </c>
      <c r="D432" s="452" t="s">
        <v>1226</v>
      </c>
      <c r="E432" s="414" t="s">
        <v>1082</v>
      </c>
      <c r="F432" s="457">
        <v>118</v>
      </c>
      <c r="G432" s="457">
        <v>12.54</v>
      </c>
      <c r="H432" s="382">
        <f t="shared" si="31"/>
        <v>15.666221999999999</v>
      </c>
      <c r="I432" s="383">
        <f t="shared" si="30"/>
        <v>1848.61</v>
      </c>
    </row>
    <row r="433" spans="1:9" ht="28.5" x14ac:dyDescent="0.25">
      <c r="A433" s="579" t="s">
        <v>1227</v>
      </c>
      <c r="B433" s="608" t="s">
        <v>315</v>
      </c>
      <c r="C433" s="594" t="s">
        <v>1228</v>
      </c>
      <c r="D433" s="452" t="s">
        <v>1229</v>
      </c>
      <c r="E433" s="414" t="s">
        <v>1082</v>
      </c>
      <c r="F433" s="457">
        <v>14</v>
      </c>
      <c r="G433" s="457">
        <v>12.42</v>
      </c>
      <c r="H433" s="382">
        <f t="shared" si="31"/>
        <v>15.516306</v>
      </c>
      <c r="I433" s="383">
        <f t="shared" si="30"/>
        <v>217.23</v>
      </c>
    </row>
    <row r="434" spans="1:9" ht="28.5" x14ac:dyDescent="0.25">
      <c r="A434" s="579" t="s">
        <v>1230</v>
      </c>
      <c r="B434" s="608" t="s">
        <v>315</v>
      </c>
      <c r="C434" s="594" t="s">
        <v>1231</v>
      </c>
      <c r="D434" s="452" t="s">
        <v>1232</v>
      </c>
      <c r="E434" s="414" t="s">
        <v>1082</v>
      </c>
      <c r="F434" s="457">
        <v>8</v>
      </c>
      <c r="G434" s="457">
        <v>12.42</v>
      </c>
      <c r="H434" s="382">
        <f t="shared" si="31"/>
        <v>15.516306</v>
      </c>
      <c r="I434" s="383">
        <f t="shared" si="30"/>
        <v>124.13</v>
      </c>
    </row>
    <row r="435" spans="1:9" ht="28.5" x14ac:dyDescent="0.25">
      <c r="A435" s="579" t="s">
        <v>1233</v>
      </c>
      <c r="B435" s="608" t="s">
        <v>315</v>
      </c>
      <c r="C435" s="594" t="s">
        <v>1234</v>
      </c>
      <c r="D435" s="452" t="s">
        <v>1235</v>
      </c>
      <c r="E435" s="414" t="s">
        <v>1082</v>
      </c>
      <c r="F435" s="457">
        <v>32</v>
      </c>
      <c r="G435" s="457">
        <v>16.13</v>
      </c>
      <c r="H435" s="382">
        <f t="shared" si="31"/>
        <v>20.151208999999998</v>
      </c>
      <c r="I435" s="383">
        <f t="shared" si="30"/>
        <v>644.84</v>
      </c>
    </row>
    <row r="436" spans="1:9" ht="28.5" x14ac:dyDescent="0.25">
      <c r="A436" s="579" t="s">
        <v>1236</v>
      </c>
      <c r="B436" s="608" t="s">
        <v>315</v>
      </c>
      <c r="C436" s="594" t="s">
        <v>1237</v>
      </c>
      <c r="D436" s="452" t="s">
        <v>1238</v>
      </c>
      <c r="E436" s="414" t="s">
        <v>1082</v>
      </c>
      <c r="F436" s="457">
        <v>18</v>
      </c>
      <c r="G436" s="457">
        <v>471.85</v>
      </c>
      <c r="H436" s="382">
        <f t="shared" si="31"/>
        <v>589.48220500000002</v>
      </c>
      <c r="I436" s="383">
        <f t="shared" si="30"/>
        <v>10610.68</v>
      </c>
    </row>
    <row r="437" spans="1:9" x14ac:dyDescent="0.25">
      <c r="A437" s="579" t="s">
        <v>1239</v>
      </c>
      <c r="B437" s="608" t="s">
        <v>601</v>
      </c>
      <c r="C437" s="594" t="s">
        <v>1240</v>
      </c>
      <c r="D437" s="452" t="s">
        <v>1241</v>
      </c>
      <c r="E437" s="414" t="s">
        <v>1082</v>
      </c>
      <c r="F437" s="457">
        <v>5</v>
      </c>
      <c r="G437" s="457">
        <v>1878.84</v>
      </c>
      <c r="H437" s="382">
        <f t="shared" si="31"/>
        <v>2347.2348119999997</v>
      </c>
      <c r="I437" s="383">
        <f t="shared" si="30"/>
        <v>11736.17</v>
      </c>
    </row>
    <row r="438" spans="1:9" x14ac:dyDescent="0.25">
      <c r="A438" s="579" t="s">
        <v>1242</v>
      </c>
      <c r="B438" s="608" t="s">
        <v>601</v>
      </c>
      <c r="C438" s="594" t="s">
        <v>1243</v>
      </c>
      <c r="D438" s="452" t="s">
        <v>1244</v>
      </c>
      <c r="E438" s="414" t="s">
        <v>1082</v>
      </c>
      <c r="F438" s="457">
        <v>120</v>
      </c>
      <c r="G438" s="457">
        <v>7.54</v>
      </c>
      <c r="H438" s="382">
        <f t="shared" si="31"/>
        <v>9.4197220000000002</v>
      </c>
      <c r="I438" s="383">
        <f t="shared" si="30"/>
        <v>1130.3699999999999</v>
      </c>
    </row>
    <row r="439" spans="1:9" x14ac:dyDescent="0.25">
      <c r="A439" s="579" t="s">
        <v>1245</v>
      </c>
      <c r="B439" s="608" t="s">
        <v>601</v>
      </c>
      <c r="C439" s="594" t="s">
        <v>1246</v>
      </c>
      <c r="D439" s="452" t="s">
        <v>1247</v>
      </c>
      <c r="E439" s="414" t="s">
        <v>1082</v>
      </c>
      <c r="F439" s="457">
        <v>9</v>
      </c>
      <c r="G439" s="457">
        <v>24.4</v>
      </c>
      <c r="H439" s="382">
        <f t="shared" si="31"/>
        <v>30.48292</v>
      </c>
      <c r="I439" s="383">
        <f t="shared" si="30"/>
        <v>274.35000000000002</v>
      </c>
    </row>
    <row r="440" spans="1:9" x14ac:dyDescent="0.25">
      <c r="A440" s="579" t="s">
        <v>1248</v>
      </c>
      <c r="B440" s="608" t="s">
        <v>601</v>
      </c>
      <c r="C440" s="594" t="s">
        <v>1249</v>
      </c>
      <c r="D440" s="452" t="s">
        <v>1250</v>
      </c>
      <c r="E440" s="414" t="s">
        <v>1082</v>
      </c>
      <c r="F440" s="457">
        <v>12</v>
      </c>
      <c r="G440" s="457">
        <v>12.51</v>
      </c>
      <c r="H440" s="382">
        <f t="shared" si="31"/>
        <v>15.628743</v>
      </c>
      <c r="I440" s="383">
        <f t="shared" ref="I440:I500" si="32">ROUND(H440*F440,2)</f>
        <v>187.54</v>
      </c>
    </row>
    <row r="441" spans="1:9" x14ac:dyDescent="0.25">
      <c r="A441" s="579" t="s">
        <v>1251</v>
      </c>
      <c r="B441" s="608" t="s">
        <v>601</v>
      </c>
      <c r="C441" s="594" t="s">
        <v>1252</v>
      </c>
      <c r="D441" s="452" t="s">
        <v>1253</v>
      </c>
      <c r="E441" s="414" t="s">
        <v>1082</v>
      </c>
      <c r="F441" s="457">
        <v>1</v>
      </c>
      <c r="G441" s="457">
        <v>27.27</v>
      </c>
      <c r="H441" s="382">
        <f t="shared" si="31"/>
        <v>34.068410999999998</v>
      </c>
      <c r="I441" s="383">
        <f t="shared" si="32"/>
        <v>34.07</v>
      </c>
    </row>
    <row r="442" spans="1:9" x14ac:dyDescent="0.25">
      <c r="A442" s="579" t="s">
        <v>1254</v>
      </c>
      <c r="B442" s="608" t="s">
        <v>601</v>
      </c>
      <c r="C442" s="594" t="s">
        <v>1255</v>
      </c>
      <c r="D442" s="452" t="s">
        <v>1256</v>
      </c>
      <c r="E442" s="414" t="s">
        <v>1082</v>
      </c>
      <c r="F442" s="457">
        <v>108</v>
      </c>
      <c r="G442" s="457">
        <v>58.28</v>
      </c>
      <c r="H442" s="382">
        <f t="shared" si="31"/>
        <v>72.809203999999994</v>
      </c>
      <c r="I442" s="383">
        <f t="shared" si="32"/>
        <v>7863.39</v>
      </c>
    </row>
    <row r="443" spans="1:9" x14ac:dyDescent="0.25">
      <c r="A443" s="579" t="s">
        <v>1257</v>
      </c>
      <c r="B443" s="608" t="s">
        <v>601</v>
      </c>
      <c r="C443" s="594" t="s">
        <v>1258</v>
      </c>
      <c r="D443" s="452" t="s">
        <v>1259</v>
      </c>
      <c r="E443" s="414" t="s">
        <v>1082</v>
      </c>
      <c r="F443" s="457">
        <v>24</v>
      </c>
      <c r="G443" s="457">
        <v>182.59</v>
      </c>
      <c r="H443" s="382">
        <f t="shared" si="31"/>
        <v>228.10968700000001</v>
      </c>
      <c r="I443" s="383">
        <f t="shared" si="32"/>
        <v>5474.63</v>
      </c>
    </row>
    <row r="444" spans="1:9" x14ac:dyDescent="0.25">
      <c r="A444" s="579" t="s">
        <v>1260</v>
      </c>
      <c r="B444" s="608" t="s">
        <v>601</v>
      </c>
      <c r="C444" s="594" t="s">
        <v>1261</v>
      </c>
      <c r="D444" s="452" t="s">
        <v>1262</v>
      </c>
      <c r="E444" s="414" t="s">
        <v>1082</v>
      </c>
      <c r="F444" s="457">
        <v>1</v>
      </c>
      <c r="G444" s="457">
        <v>26.19</v>
      </c>
      <c r="H444" s="382">
        <f t="shared" si="31"/>
        <v>32.719166999999999</v>
      </c>
      <c r="I444" s="383">
        <f t="shared" si="32"/>
        <v>32.72</v>
      </c>
    </row>
    <row r="445" spans="1:9" x14ac:dyDescent="0.25">
      <c r="A445" s="579" t="s">
        <v>1263</v>
      </c>
      <c r="B445" s="608" t="s">
        <v>601</v>
      </c>
      <c r="C445" s="594" t="s">
        <v>1264</v>
      </c>
      <c r="D445" s="452" t="s">
        <v>1265</v>
      </c>
      <c r="E445" s="414" t="s">
        <v>1082</v>
      </c>
      <c r="F445" s="457">
        <v>1</v>
      </c>
      <c r="G445" s="457">
        <v>121.83</v>
      </c>
      <c r="H445" s="382">
        <f t="shared" si="31"/>
        <v>152.20221899999999</v>
      </c>
      <c r="I445" s="383">
        <f t="shared" si="32"/>
        <v>152.19999999999999</v>
      </c>
    </row>
    <row r="446" spans="1:9" x14ac:dyDescent="0.25">
      <c r="A446" s="579" t="s">
        <v>1266</v>
      </c>
      <c r="B446" s="608" t="s">
        <v>601</v>
      </c>
      <c r="C446" s="594" t="s">
        <v>1267</v>
      </c>
      <c r="D446" s="452" t="s">
        <v>1268</v>
      </c>
      <c r="E446" s="414" t="s">
        <v>1082</v>
      </c>
      <c r="F446" s="457">
        <v>2</v>
      </c>
      <c r="G446" s="457">
        <v>5.91</v>
      </c>
      <c r="H446" s="382">
        <f t="shared" si="31"/>
        <v>7.3833630000000001</v>
      </c>
      <c r="I446" s="383">
        <f t="shared" si="32"/>
        <v>14.77</v>
      </c>
    </row>
    <row r="447" spans="1:9" x14ac:dyDescent="0.25">
      <c r="A447" s="579" t="s">
        <v>1269</v>
      </c>
      <c r="B447" s="608" t="s">
        <v>601</v>
      </c>
      <c r="C447" s="594" t="s">
        <v>1270</v>
      </c>
      <c r="D447" s="452" t="s">
        <v>1271</v>
      </c>
      <c r="E447" s="414" t="s">
        <v>1082</v>
      </c>
      <c r="F447" s="457">
        <v>1</v>
      </c>
      <c r="G447" s="457">
        <v>269.43</v>
      </c>
      <c r="H447" s="382">
        <f t="shared" si="31"/>
        <v>336.59889900000002</v>
      </c>
      <c r="I447" s="383">
        <f t="shared" si="32"/>
        <v>336.6</v>
      </c>
    </row>
    <row r="448" spans="1:9" x14ac:dyDescent="0.25">
      <c r="A448" s="579" t="s">
        <v>1272</v>
      </c>
      <c r="B448" s="608" t="s">
        <v>601</v>
      </c>
      <c r="C448" s="594" t="s">
        <v>1273</v>
      </c>
      <c r="D448" s="452" t="s">
        <v>1274</v>
      </c>
      <c r="E448" s="414" t="s">
        <v>1082</v>
      </c>
      <c r="F448" s="457">
        <v>29</v>
      </c>
      <c r="G448" s="457">
        <v>108.52</v>
      </c>
      <c r="H448" s="382">
        <f t="shared" si="31"/>
        <v>135.57403600000001</v>
      </c>
      <c r="I448" s="383">
        <f t="shared" si="32"/>
        <v>3931.65</v>
      </c>
    </row>
    <row r="449" spans="1:9" x14ac:dyDescent="0.25">
      <c r="A449" s="579" t="s">
        <v>1275</v>
      </c>
      <c r="B449" s="608" t="s">
        <v>601</v>
      </c>
      <c r="C449" s="594" t="s">
        <v>1276</v>
      </c>
      <c r="D449" s="452" t="s">
        <v>1277</v>
      </c>
      <c r="E449" s="414" t="s">
        <v>1082</v>
      </c>
      <c r="F449" s="457">
        <v>2</v>
      </c>
      <c r="G449" s="457">
        <v>141.94999999999999</v>
      </c>
      <c r="H449" s="382">
        <f t="shared" si="31"/>
        <v>177.33813499999999</v>
      </c>
      <c r="I449" s="383">
        <f t="shared" si="32"/>
        <v>354.68</v>
      </c>
    </row>
    <row r="450" spans="1:9" x14ac:dyDescent="0.25">
      <c r="A450" s="579" t="s">
        <v>1278</v>
      </c>
      <c r="B450" s="608" t="s">
        <v>601</v>
      </c>
      <c r="C450" s="594" t="s">
        <v>1279</v>
      </c>
      <c r="D450" s="452" t="s">
        <v>1280</v>
      </c>
      <c r="E450" s="414" t="s">
        <v>1082</v>
      </c>
      <c r="F450" s="457">
        <v>133</v>
      </c>
      <c r="G450" s="457">
        <v>12.15</v>
      </c>
      <c r="H450" s="382">
        <f t="shared" si="31"/>
        <v>15.178995</v>
      </c>
      <c r="I450" s="383">
        <f t="shared" si="32"/>
        <v>2018.81</v>
      </c>
    </row>
    <row r="451" spans="1:9" x14ac:dyDescent="0.25">
      <c r="A451" s="579" t="s">
        <v>1281</v>
      </c>
      <c r="B451" s="608" t="s">
        <v>601</v>
      </c>
      <c r="C451" s="594" t="s">
        <v>1282</v>
      </c>
      <c r="D451" s="452" t="s">
        <v>1283</v>
      </c>
      <c r="E451" s="414" t="s">
        <v>1082</v>
      </c>
      <c r="F451" s="457">
        <v>11</v>
      </c>
      <c r="G451" s="457">
        <v>16.809999999999999</v>
      </c>
      <c r="H451" s="382">
        <f t="shared" si="31"/>
        <v>21.000732999999997</v>
      </c>
      <c r="I451" s="383">
        <f t="shared" si="32"/>
        <v>231.01</v>
      </c>
    </row>
    <row r="452" spans="1:9" x14ac:dyDescent="0.25">
      <c r="A452" s="579" t="s">
        <v>1284</v>
      </c>
      <c r="B452" s="608" t="s">
        <v>601</v>
      </c>
      <c r="C452" s="594" t="s">
        <v>1285</v>
      </c>
      <c r="D452" s="452" t="s">
        <v>1286</v>
      </c>
      <c r="E452" s="414" t="s">
        <v>1082</v>
      </c>
      <c r="F452" s="457">
        <v>2</v>
      </c>
      <c r="G452" s="457">
        <v>35.31</v>
      </c>
      <c r="H452" s="382">
        <f t="shared" si="31"/>
        <v>44.112783</v>
      </c>
      <c r="I452" s="383">
        <f t="shared" si="32"/>
        <v>88.23</v>
      </c>
    </row>
    <row r="453" spans="1:9" x14ac:dyDescent="0.25">
      <c r="A453" s="579" t="s">
        <v>1287</v>
      </c>
      <c r="B453" s="608" t="s">
        <v>601</v>
      </c>
      <c r="C453" s="594" t="s">
        <v>1288</v>
      </c>
      <c r="D453" s="452" t="s">
        <v>1289</v>
      </c>
      <c r="E453" s="414" t="s">
        <v>1082</v>
      </c>
      <c r="F453" s="457">
        <v>1</v>
      </c>
      <c r="G453" s="457">
        <v>43.45</v>
      </c>
      <c r="H453" s="382">
        <f t="shared" si="31"/>
        <v>54.282085000000002</v>
      </c>
      <c r="I453" s="383">
        <f t="shared" si="32"/>
        <v>54.28</v>
      </c>
    </row>
    <row r="454" spans="1:9" x14ac:dyDescent="0.25">
      <c r="A454" s="579" t="s">
        <v>1290</v>
      </c>
      <c r="B454" s="608" t="s">
        <v>601</v>
      </c>
      <c r="C454" s="594" t="s">
        <v>1291</v>
      </c>
      <c r="D454" s="452" t="s">
        <v>1292</v>
      </c>
      <c r="E454" s="414" t="s">
        <v>1082</v>
      </c>
      <c r="F454" s="457">
        <v>160</v>
      </c>
      <c r="G454" s="457">
        <v>5.99</v>
      </c>
      <c r="H454" s="382">
        <f t="shared" si="31"/>
        <v>7.4833069999999999</v>
      </c>
      <c r="I454" s="383">
        <f t="shared" si="32"/>
        <v>1197.33</v>
      </c>
    </row>
    <row r="455" spans="1:9" x14ac:dyDescent="0.25">
      <c r="A455" s="579" t="s">
        <v>1293</v>
      </c>
      <c r="B455" s="608" t="s">
        <v>601</v>
      </c>
      <c r="C455" s="594" t="s">
        <v>1294</v>
      </c>
      <c r="D455" s="452" t="s">
        <v>1295</v>
      </c>
      <c r="E455" s="414" t="s">
        <v>1082</v>
      </c>
      <c r="F455" s="457">
        <v>127</v>
      </c>
      <c r="G455" s="457">
        <v>14.53</v>
      </c>
      <c r="H455" s="382">
        <f t="shared" si="31"/>
        <v>18.152328999999998</v>
      </c>
      <c r="I455" s="383">
        <f t="shared" si="32"/>
        <v>2305.35</v>
      </c>
    </row>
    <row r="456" spans="1:9" x14ac:dyDescent="0.25">
      <c r="A456" s="579" t="s">
        <v>1296</v>
      </c>
      <c r="B456" s="608" t="s">
        <v>601</v>
      </c>
      <c r="C456" s="594" t="s">
        <v>1297</v>
      </c>
      <c r="D456" s="452" t="s">
        <v>1298</v>
      </c>
      <c r="E456" s="414" t="s">
        <v>1082</v>
      </c>
      <c r="F456" s="457">
        <v>21</v>
      </c>
      <c r="G456" s="457">
        <v>28.96</v>
      </c>
      <c r="H456" s="382">
        <f t="shared" si="31"/>
        <v>36.179727999999997</v>
      </c>
      <c r="I456" s="383">
        <f t="shared" si="32"/>
        <v>759.77</v>
      </c>
    </row>
    <row r="457" spans="1:9" x14ac:dyDescent="0.25">
      <c r="A457" s="579" t="s">
        <v>1299</v>
      </c>
      <c r="B457" s="608" t="s">
        <v>601</v>
      </c>
      <c r="C457" s="594" t="s">
        <v>1300</v>
      </c>
      <c r="D457" s="452" t="s">
        <v>1301</v>
      </c>
      <c r="E457" s="414" t="s">
        <v>1082</v>
      </c>
      <c r="F457" s="457">
        <v>1</v>
      </c>
      <c r="G457" s="457">
        <v>24.95</v>
      </c>
      <c r="H457" s="382">
        <f t="shared" si="31"/>
        <v>31.170034999999999</v>
      </c>
      <c r="I457" s="383">
        <f t="shared" si="32"/>
        <v>31.17</v>
      </c>
    </row>
    <row r="458" spans="1:9" x14ac:dyDescent="0.25">
      <c r="A458" s="579" t="s">
        <v>1302</v>
      </c>
      <c r="B458" s="608" t="s">
        <v>601</v>
      </c>
      <c r="C458" s="594" t="s">
        <v>1303</v>
      </c>
      <c r="D458" s="452" t="s">
        <v>1304</v>
      </c>
      <c r="E458" s="414" t="s">
        <v>473</v>
      </c>
      <c r="F458" s="457">
        <v>782.16000000000008</v>
      </c>
      <c r="G458" s="457">
        <v>32.659999999999997</v>
      </c>
      <c r="H458" s="382">
        <f t="shared" si="31"/>
        <v>40.802137999999999</v>
      </c>
      <c r="I458" s="383">
        <f t="shared" si="32"/>
        <v>31913.8</v>
      </c>
    </row>
    <row r="459" spans="1:9" x14ac:dyDescent="0.25">
      <c r="A459" s="579" t="s">
        <v>1305</v>
      </c>
      <c r="B459" s="608" t="s">
        <v>601</v>
      </c>
      <c r="C459" s="594" t="s">
        <v>1306</v>
      </c>
      <c r="D459" s="452" t="s">
        <v>1307</v>
      </c>
      <c r="E459" s="414" t="s">
        <v>473</v>
      </c>
      <c r="F459" s="457">
        <v>610.28</v>
      </c>
      <c r="G459" s="457">
        <v>47.21</v>
      </c>
      <c r="H459" s="382">
        <f t="shared" si="31"/>
        <v>58.979452999999999</v>
      </c>
      <c r="I459" s="383">
        <f t="shared" si="32"/>
        <v>35993.980000000003</v>
      </c>
    </row>
    <row r="460" spans="1:9" x14ac:dyDescent="0.25">
      <c r="A460" s="579" t="s">
        <v>1308</v>
      </c>
      <c r="B460" s="608" t="s">
        <v>601</v>
      </c>
      <c r="C460" s="594" t="s">
        <v>1309</v>
      </c>
      <c r="D460" s="452" t="s">
        <v>1310</v>
      </c>
      <c r="E460" s="414" t="s">
        <v>473</v>
      </c>
      <c r="F460" s="457">
        <v>41.87</v>
      </c>
      <c r="G460" s="457">
        <v>71.31</v>
      </c>
      <c r="H460" s="382">
        <f t="shared" si="31"/>
        <v>89.087582999999995</v>
      </c>
      <c r="I460" s="383">
        <f t="shared" si="32"/>
        <v>3730.1</v>
      </c>
    </row>
    <row r="461" spans="1:9" x14ac:dyDescent="0.25">
      <c r="A461" s="579" t="s">
        <v>1311</v>
      </c>
      <c r="B461" s="608" t="s">
        <v>601</v>
      </c>
      <c r="C461" s="594" t="s">
        <v>1312</v>
      </c>
      <c r="D461" s="452" t="s">
        <v>1313</v>
      </c>
      <c r="E461" s="414" t="s">
        <v>473</v>
      </c>
      <c r="F461" s="457">
        <v>116.42</v>
      </c>
      <c r="G461" s="457">
        <v>80.83</v>
      </c>
      <c r="H461" s="382">
        <f t="shared" si="31"/>
        <v>100.980919</v>
      </c>
      <c r="I461" s="383">
        <f t="shared" si="32"/>
        <v>11756.2</v>
      </c>
    </row>
    <row r="462" spans="1:9" x14ac:dyDescent="0.25">
      <c r="A462" s="579" t="s">
        <v>1314</v>
      </c>
      <c r="B462" s="608" t="s">
        <v>601</v>
      </c>
      <c r="C462" s="594" t="s">
        <v>1315</v>
      </c>
      <c r="D462" s="452" t="s">
        <v>1316</v>
      </c>
      <c r="E462" s="414" t="s">
        <v>473</v>
      </c>
      <c r="F462" s="457">
        <v>181.78</v>
      </c>
      <c r="G462" s="457">
        <v>120.51</v>
      </c>
      <c r="H462" s="382">
        <f t="shared" si="31"/>
        <v>150.55314300000001</v>
      </c>
      <c r="I462" s="383">
        <f t="shared" si="32"/>
        <v>27367.55</v>
      </c>
    </row>
    <row r="463" spans="1:9" x14ac:dyDescent="0.25">
      <c r="A463" s="579" t="s">
        <v>1317</v>
      </c>
      <c r="B463" s="608" t="s">
        <v>601</v>
      </c>
      <c r="C463" s="594" t="s">
        <v>1318</v>
      </c>
      <c r="D463" s="452" t="s">
        <v>1319</v>
      </c>
      <c r="E463" s="414" t="s">
        <v>473</v>
      </c>
      <c r="F463" s="457">
        <v>2.5</v>
      </c>
      <c r="G463" s="457">
        <v>161.86000000000001</v>
      </c>
      <c r="H463" s="382">
        <f t="shared" si="31"/>
        <v>202.21169800000001</v>
      </c>
      <c r="I463" s="383">
        <f t="shared" si="32"/>
        <v>505.53</v>
      </c>
    </row>
    <row r="464" spans="1:9" x14ac:dyDescent="0.25">
      <c r="A464" s="579" t="s">
        <v>1320</v>
      </c>
      <c r="B464" s="608" t="s">
        <v>601</v>
      </c>
      <c r="C464" s="594" t="s">
        <v>1321</v>
      </c>
      <c r="D464" s="452" t="s">
        <v>1322</v>
      </c>
      <c r="E464" s="414" t="s">
        <v>473</v>
      </c>
      <c r="F464" s="457">
        <v>142.36000000000001</v>
      </c>
      <c r="G464" s="457">
        <v>199.36</v>
      </c>
      <c r="H464" s="382">
        <f t="shared" si="31"/>
        <v>249.06044800000001</v>
      </c>
      <c r="I464" s="383">
        <f t="shared" si="32"/>
        <v>35456.25</v>
      </c>
    </row>
    <row r="465" spans="1:9" x14ac:dyDescent="0.25">
      <c r="A465" s="579" t="s">
        <v>1323</v>
      </c>
      <c r="B465" s="608" t="s">
        <v>601</v>
      </c>
      <c r="C465" s="594" t="s">
        <v>1324</v>
      </c>
      <c r="D465" s="452" t="s">
        <v>1325</v>
      </c>
      <c r="E465" s="414" t="s">
        <v>473</v>
      </c>
      <c r="F465" s="457">
        <v>72.91</v>
      </c>
      <c r="G465" s="457">
        <v>55.4</v>
      </c>
      <c r="H465" s="382">
        <f t="shared" si="31"/>
        <v>69.211219999999997</v>
      </c>
      <c r="I465" s="383">
        <f t="shared" si="32"/>
        <v>5046.1899999999996</v>
      </c>
    </row>
    <row r="466" spans="1:9" x14ac:dyDescent="0.25">
      <c r="A466" s="579" t="s">
        <v>1326</v>
      </c>
      <c r="B466" s="608" t="s">
        <v>601</v>
      </c>
      <c r="C466" s="594" t="s">
        <v>1327</v>
      </c>
      <c r="D466" s="452" t="s">
        <v>1328</v>
      </c>
      <c r="E466" s="414" t="s">
        <v>1082</v>
      </c>
      <c r="F466" s="457">
        <v>137</v>
      </c>
      <c r="G466" s="457">
        <v>136.18</v>
      </c>
      <c r="H466" s="382">
        <f t="shared" si="31"/>
        <v>170.12967400000002</v>
      </c>
      <c r="I466" s="383">
        <f t="shared" si="32"/>
        <v>23307.77</v>
      </c>
    </row>
    <row r="467" spans="1:9" x14ac:dyDescent="0.25">
      <c r="A467" s="579" t="s">
        <v>1329</v>
      </c>
      <c r="B467" s="608" t="s">
        <v>601</v>
      </c>
      <c r="C467" s="594" t="s">
        <v>1330</v>
      </c>
      <c r="D467" s="452" t="s">
        <v>1331</v>
      </c>
      <c r="E467" s="414" t="s">
        <v>1082</v>
      </c>
      <c r="F467" s="457">
        <v>1</v>
      </c>
      <c r="G467" s="457">
        <v>11.53</v>
      </c>
      <c r="H467" s="382">
        <f t="shared" si="31"/>
        <v>14.404428999999999</v>
      </c>
      <c r="I467" s="383">
        <f t="shared" si="32"/>
        <v>14.4</v>
      </c>
    </row>
    <row r="468" spans="1:9" x14ac:dyDescent="0.25">
      <c r="A468" s="579" t="s">
        <v>1332</v>
      </c>
      <c r="B468" s="608" t="s">
        <v>601</v>
      </c>
      <c r="C468" s="594" t="s">
        <v>1333</v>
      </c>
      <c r="D468" s="452" t="s">
        <v>1334</v>
      </c>
      <c r="E468" s="414" t="s">
        <v>1082</v>
      </c>
      <c r="F468" s="457">
        <v>1</v>
      </c>
      <c r="G468" s="457">
        <v>1795.3</v>
      </c>
      <c r="H468" s="382">
        <f t="shared" si="31"/>
        <v>2242.8682899999999</v>
      </c>
      <c r="I468" s="383">
        <f t="shared" si="32"/>
        <v>2242.87</v>
      </c>
    </row>
    <row r="469" spans="1:9" x14ac:dyDescent="0.25">
      <c r="A469" s="579" t="s">
        <v>1335</v>
      </c>
      <c r="B469" s="608" t="s">
        <v>601</v>
      </c>
      <c r="C469" s="594" t="s">
        <v>1336</v>
      </c>
      <c r="D469" s="452" t="s">
        <v>1337</v>
      </c>
      <c r="E469" s="414" t="s">
        <v>1082</v>
      </c>
      <c r="F469" s="457">
        <v>1</v>
      </c>
      <c r="G469" s="457">
        <v>8976.48</v>
      </c>
      <c r="H469" s="382">
        <f t="shared" si="31"/>
        <v>11214.316464</v>
      </c>
      <c r="I469" s="383">
        <f t="shared" si="32"/>
        <v>11214.32</v>
      </c>
    </row>
    <row r="470" spans="1:9" x14ac:dyDescent="0.25">
      <c r="A470" s="579" t="s">
        <v>1338</v>
      </c>
      <c r="B470" s="608" t="s">
        <v>601</v>
      </c>
      <c r="C470" s="594" t="s">
        <v>1339</v>
      </c>
      <c r="D470" s="452" t="s">
        <v>1340</v>
      </c>
      <c r="E470" s="414" t="s">
        <v>1082</v>
      </c>
      <c r="F470" s="457">
        <v>107</v>
      </c>
      <c r="G470" s="457">
        <v>87.71</v>
      </c>
      <c r="H470" s="382">
        <f t="shared" si="31"/>
        <v>109.57610299999999</v>
      </c>
      <c r="I470" s="383">
        <f t="shared" si="32"/>
        <v>11724.64</v>
      </c>
    </row>
    <row r="471" spans="1:9" ht="28.5" x14ac:dyDescent="0.25">
      <c r="A471" s="579" t="s">
        <v>1341</v>
      </c>
      <c r="B471" s="608" t="s">
        <v>601</v>
      </c>
      <c r="C471" s="594" t="s">
        <v>1342</v>
      </c>
      <c r="D471" s="452" t="s">
        <v>1343</v>
      </c>
      <c r="E471" s="414" t="s">
        <v>1082</v>
      </c>
      <c r="F471" s="457">
        <v>2</v>
      </c>
      <c r="G471" s="457">
        <v>713.38</v>
      </c>
      <c r="H471" s="382">
        <f t="shared" si="31"/>
        <v>891.22563400000001</v>
      </c>
      <c r="I471" s="383">
        <f t="shared" si="32"/>
        <v>1782.45</v>
      </c>
    </row>
    <row r="472" spans="1:9" ht="28.5" x14ac:dyDescent="0.25">
      <c r="A472" s="579" t="s">
        <v>1344</v>
      </c>
      <c r="B472" s="608" t="s">
        <v>601</v>
      </c>
      <c r="C472" s="594" t="s">
        <v>1345</v>
      </c>
      <c r="D472" s="452" t="s">
        <v>1346</v>
      </c>
      <c r="E472" s="414" t="s">
        <v>1082</v>
      </c>
      <c r="F472" s="457">
        <v>2</v>
      </c>
      <c r="G472" s="457">
        <v>662.41</v>
      </c>
      <c r="H472" s="382">
        <f t="shared" si="31"/>
        <v>827.548813</v>
      </c>
      <c r="I472" s="383">
        <f t="shared" si="32"/>
        <v>1655.1</v>
      </c>
    </row>
    <row r="473" spans="1:9" ht="28.5" x14ac:dyDescent="0.25">
      <c r="A473" s="579" t="s">
        <v>1347</v>
      </c>
      <c r="B473" s="608" t="s">
        <v>601</v>
      </c>
      <c r="C473" s="594" t="s">
        <v>1348</v>
      </c>
      <c r="D473" s="452" t="s">
        <v>1349</v>
      </c>
      <c r="E473" s="414" t="s">
        <v>1082</v>
      </c>
      <c r="F473" s="457">
        <v>1</v>
      </c>
      <c r="G473" s="457">
        <v>351.84</v>
      </c>
      <c r="H473" s="382">
        <f t="shared" si="31"/>
        <v>439.55371199999996</v>
      </c>
      <c r="I473" s="383">
        <f t="shared" si="32"/>
        <v>439.55</v>
      </c>
    </row>
    <row r="474" spans="1:9" x14ac:dyDescent="0.25">
      <c r="A474" s="579" t="s">
        <v>1350</v>
      </c>
      <c r="B474" s="608" t="s">
        <v>601</v>
      </c>
      <c r="C474" s="594" t="s">
        <v>1351</v>
      </c>
      <c r="D474" s="452" t="s">
        <v>1352</v>
      </c>
      <c r="E474" s="414" t="s">
        <v>1082</v>
      </c>
      <c r="F474" s="457">
        <v>2</v>
      </c>
      <c r="G474" s="457">
        <v>70.52</v>
      </c>
      <c r="H474" s="382">
        <f t="shared" si="31"/>
        <v>88.100635999999994</v>
      </c>
      <c r="I474" s="383">
        <f t="shared" si="32"/>
        <v>176.2</v>
      </c>
    </row>
    <row r="475" spans="1:9" x14ac:dyDescent="0.25">
      <c r="A475" s="579" t="s">
        <v>1353</v>
      </c>
      <c r="B475" s="608" t="s">
        <v>601</v>
      </c>
      <c r="C475" s="594" t="s">
        <v>1354</v>
      </c>
      <c r="D475" s="452" t="s">
        <v>1355</v>
      </c>
      <c r="E475" s="414" t="s">
        <v>1082</v>
      </c>
      <c r="F475" s="457">
        <v>1</v>
      </c>
      <c r="G475" s="457">
        <v>26.39</v>
      </c>
      <c r="H475" s="382">
        <f t="shared" ref="H475:H538" si="33">G475+(G475*$H$14)</f>
        <v>32.969026999999997</v>
      </c>
      <c r="I475" s="383">
        <f t="shared" si="32"/>
        <v>32.97</v>
      </c>
    </row>
    <row r="476" spans="1:9" x14ac:dyDescent="0.25">
      <c r="A476" s="579" t="s">
        <v>1356</v>
      </c>
      <c r="B476" s="608" t="s">
        <v>601</v>
      </c>
      <c r="C476" s="594" t="s">
        <v>1357</v>
      </c>
      <c r="D476" s="452" t="s">
        <v>1358</v>
      </c>
      <c r="E476" s="414" t="s">
        <v>1082</v>
      </c>
      <c r="F476" s="457">
        <v>7</v>
      </c>
      <c r="G476" s="457">
        <v>14.83</v>
      </c>
      <c r="H476" s="382">
        <f t="shared" si="33"/>
        <v>18.527118999999999</v>
      </c>
      <c r="I476" s="383">
        <f t="shared" si="32"/>
        <v>129.69</v>
      </c>
    </row>
    <row r="477" spans="1:9" x14ac:dyDescent="0.25">
      <c r="A477" s="579" t="s">
        <v>1359</v>
      </c>
      <c r="B477" s="608" t="s">
        <v>601</v>
      </c>
      <c r="C477" s="594" t="s">
        <v>1360</v>
      </c>
      <c r="D477" s="452" t="s">
        <v>1361</v>
      </c>
      <c r="E477" s="414" t="s">
        <v>1082</v>
      </c>
      <c r="F477" s="457">
        <v>72</v>
      </c>
      <c r="G477" s="457">
        <v>31.74</v>
      </c>
      <c r="H477" s="382">
        <f t="shared" si="33"/>
        <v>39.652781999999995</v>
      </c>
      <c r="I477" s="383">
        <f t="shared" si="32"/>
        <v>2855</v>
      </c>
    </row>
    <row r="478" spans="1:9" x14ac:dyDescent="0.25">
      <c r="A478" s="579" t="s">
        <v>1362</v>
      </c>
      <c r="B478" s="608" t="s">
        <v>601</v>
      </c>
      <c r="C478" s="594" t="s">
        <v>1363</v>
      </c>
      <c r="D478" s="452" t="s">
        <v>1364</v>
      </c>
      <c r="E478" s="414" t="s">
        <v>1082</v>
      </c>
      <c r="F478" s="457">
        <v>20</v>
      </c>
      <c r="G478" s="457">
        <v>34.119999999999997</v>
      </c>
      <c r="H478" s="382">
        <f t="shared" si="33"/>
        <v>42.626115999999996</v>
      </c>
      <c r="I478" s="383">
        <f t="shared" si="32"/>
        <v>852.52</v>
      </c>
    </row>
    <row r="479" spans="1:9" x14ac:dyDescent="0.25">
      <c r="A479" s="579" t="s">
        <v>1365</v>
      </c>
      <c r="B479" s="608" t="s">
        <v>601</v>
      </c>
      <c r="C479" s="594" t="s">
        <v>1366</v>
      </c>
      <c r="D479" s="452" t="s">
        <v>1367</v>
      </c>
      <c r="E479" s="414" t="s">
        <v>1082</v>
      </c>
      <c r="F479" s="457">
        <v>1</v>
      </c>
      <c r="G479" s="457">
        <v>19.38</v>
      </c>
      <c r="H479" s="382">
        <f t="shared" si="33"/>
        <v>24.211433999999997</v>
      </c>
      <c r="I479" s="383">
        <f t="shared" si="32"/>
        <v>24.21</v>
      </c>
    </row>
    <row r="480" spans="1:9" x14ac:dyDescent="0.25">
      <c r="A480" s="579" t="s">
        <v>1368</v>
      </c>
      <c r="B480" s="608" t="s">
        <v>601</v>
      </c>
      <c r="C480" s="594" t="s">
        <v>1369</v>
      </c>
      <c r="D480" s="452" t="s">
        <v>1370</v>
      </c>
      <c r="E480" s="414" t="s">
        <v>1082</v>
      </c>
      <c r="F480" s="457">
        <v>9</v>
      </c>
      <c r="G480" s="457">
        <v>29.73</v>
      </c>
      <c r="H480" s="382">
        <f t="shared" si="33"/>
        <v>37.141689</v>
      </c>
      <c r="I480" s="383">
        <f t="shared" si="32"/>
        <v>334.28</v>
      </c>
    </row>
    <row r="481" spans="1:9" x14ac:dyDescent="0.25">
      <c r="A481" s="579" t="s">
        <v>1371</v>
      </c>
      <c r="B481" s="608" t="s">
        <v>504</v>
      </c>
      <c r="C481" s="594" t="s">
        <v>1372</v>
      </c>
      <c r="D481" s="452" t="s">
        <v>1373</v>
      </c>
      <c r="E481" s="414" t="s">
        <v>1082</v>
      </c>
      <c r="F481" s="457">
        <v>191</v>
      </c>
      <c r="G481" s="457">
        <v>13.43</v>
      </c>
      <c r="H481" s="382">
        <f t="shared" si="33"/>
        <v>16.778099000000001</v>
      </c>
      <c r="I481" s="383">
        <f t="shared" si="32"/>
        <v>3204.62</v>
      </c>
    </row>
    <row r="482" spans="1:9" x14ac:dyDescent="0.25">
      <c r="A482" s="579" t="s">
        <v>1374</v>
      </c>
      <c r="B482" s="608" t="s">
        <v>504</v>
      </c>
      <c r="C482" s="594" t="s">
        <v>1375</v>
      </c>
      <c r="D482" s="452" t="s">
        <v>1376</v>
      </c>
      <c r="E482" s="414" t="s">
        <v>1082</v>
      </c>
      <c r="F482" s="457">
        <v>1</v>
      </c>
      <c r="G482" s="457">
        <v>439.19</v>
      </c>
      <c r="H482" s="382">
        <f t="shared" si="33"/>
        <v>548.68006700000001</v>
      </c>
      <c r="I482" s="383">
        <f t="shared" si="32"/>
        <v>548.67999999999995</v>
      </c>
    </row>
    <row r="483" spans="1:9" x14ac:dyDescent="0.25">
      <c r="A483" s="579" t="s">
        <v>1377</v>
      </c>
      <c r="B483" s="608" t="s">
        <v>504</v>
      </c>
      <c r="C483" s="594" t="s">
        <v>1378</v>
      </c>
      <c r="D483" s="452" t="s">
        <v>1379</v>
      </c>
      <c r="E483" s="414" t="s">
        <v>1082</v>
      </c>
      <c r="F483" s="457">
        <v>1</v>
      </c>
      <c r="G483" s="457">
        <v>6539.84</v>
      </c>
      <c r="H483" s="382">
        <f t="shared" si="33"/>
        <v>8170.2221120000004</v>
      </c>
      <c r="I483" s="383">
        <f t="shared" si="32"/>
        <v>8170.22</v>
      </c>
    </row>
    <row r="484" spans="1:9" x14ac:dyDescent="0.25">
      <c r="A484" s="579" t="s">
        <v>1380</v>
      </c>
      <c r="B484" s="608" t="s">
        <v>504</v>
      </c>
      <c r="C484" s="594" t="s">
        <v>1381</v>
      </c>
      <c r="D484" s="452" t="s">
        <v>1382</v>
      </c>
      <c r="E484" s="414" t="s">
        <v>1082</v>
      </c>
      <c r="F484" s="457">
        <v>5</v>
      </c>
      <c r="G484" s="457">
        <v>13.19</v>
      </c>
      <c r="H484" s="382">
        <f t="shared" si="33"/>
        <v>16.478266999999999</v>
      </c>
      <c r="I484" s="383">
        <f t="shared" si="32"/>
        <v>82.39</v>
      </c>
    </row>
    <row r="485" spans="1:9" x14ac:dyDescent="0.25">
      <c r="A485" s="579" t="s">
        <v>1383</v>
      </c>
      <c r="B485" s="608" t="s">
        <v>504</v>
      </c>
      <c r="C485" s="594" t="s">
        <v>1384</v>
      </c>
      <c r="D485" s="452" t="s">
        <v>1385</v>
      </c>
      <c r="E485" s="414" t="s">
        <v>1082</v>
      </c>
      <c r="F485" s="457">
        <v>1</v>
      </c>
      <c r="G485" s="457">
        <v>22.74</v>
      </c>
      <c r="H485" s="382">
        <f t="shared" si="33"/>
        <v>28.409081999999998</v>
      </c>
      <c r="I485" s="383">
        <f t="shared" si="32"/>
        <v>28.41</v>
      </c>
    </row>
    <row r="486" spans="1:9" x14ac:dyDescent="0.25">
      <c r="A486" s="579" t="s">
        <v>1386</v>
      </c>
      <c r="B486" s="608" t="s">
        <v>504</v>
      </c>
      <c r="C486" s="594" t="s">
        <v>1387</v>
      </c>
      <c r="D486" s="452" t="s">
        <v>1388</v>
      </c>
      <c r="E486" s="414" t="s">
        <v>1082</v>
      </c>
      <c r="F486" s="457">
        <v>3</v>
      </c>
      <c r="G486" s="457">
        <v>97.92</v>
      </c>
      <c r="H486" s="382">
        <f t="shared" si="33"/>
        <v>122.331456</v>
      </c>
      <c r="I486" s="383">
        <f t="shared" si="32"/>
        <v>366.99</v>
      </c>
    </row>
    <row r="487" spans="1:9" x14ac:dyDescent="0.25">
      <c r="A487" s="579" t="s">
        <v>1389</v>
      </c>
      <c r="B487" s="608" t="s">
        <v>504</v>
      </c>
      <c r="C487" s="594" t="s">
        <v>1390</v>
      </c>
      <c r="D487" s="452" t="s">
        <v>1391</v>
      </c>
      <c r="E487" s="414" t="s">
        <v>1082</v>
      </c>
      <c r="F487" s="457">
        <v>6</v>
      </c>
      <c r="G487" s="457">
        <v>37.29</v>
      </c>
      <c r="H487" s="382">
        <f t="shared" si="33"/>
        <v>46.586396999999998</v>
      </c>
      <c r="I487" s="383">
        <f t="shared" si="32"/>
        <v>279.52</v>
      </c>
    </row>
    <row r="488" spans="1:9" x14ac:dyDescent="0.25">
      <c r="A488" s="579" t="s">
        <v>1392</v>
      </c>
      <c r="B488" s="608" t="s">
        <v>504</v>
      </c>
      <c r="C488" s="594" t="s">
        <v>1393</v>
      </c>
      <c r="D488" s="452" t="s">
        <v>1394</v>
      </c>
      <c r="E488" s="414" t="s">
        <v>1082</v>
      </c>
      <c r="F488" s="457">
        <v>11</v>
      </c>
      <c r="G488" s="457">
        <v>60.21</v>
      </c>
      <c r="H488" s="382">
        <f t="shared" si="33"/>
        <v>75.220353000000003</v>
      </c>
      <c r="I488" s="383">
        <f t="shared" si="32"/>
        <v>827.42</v>
      </c>
    </row>
    <row r="489" spans="1:9" x14ac:dyDescent="0.25">
      <c r="A489" s="579" t="s">
        <v>1395</v>
      </c>
      <c r="B489" s="608" t="s">
        <v>504</v>
      </c>
      <c r="C489" s="594" t="s">
        <v>1396</v>
      </c>
      <c r="D489" s="452" t="s">
        <v>1397</v>
      </c>
      <c r="E489" s="414" t="s">
        <v>1082</v>
      </c>
      <c r="F489" s="457">
        <v>2</v>
      </c>
      <c r="G489" s="457">
        <v>20.170000000000002</v>
      </c>
      <c r="H489" s="382">
        <f t="shared" si="33"/>
        <v>25.198381000000001</v>
      </c>
      <c r="I489" s="383">
        <f t="shared" si="32"/>
        <v>50.4</v>
      </c>
    </row>
    <row r="490" spans="1:9" x14ac:dyDescent="0.25">
      <c r="A490" s="579" t="s">
        <v>1398</v>
      </c>
      <c r="B490" s="608" t="s">
        <v>504</v>
      </c>
      <c r="C490" s="594" t="s">
        <v>1399</v>
      </c>
      <c r="D490" s="452" t="s">
        <v>1400</v>
      </c>
      <c r="E490" s="414" t="s">
        <v>1082</v>
      </c>
      <c r="F490" s="457">
        <v>2</v>
      </c>
      <c r="G490" s="457">
        <v>12.69</v>
      </c>
      <c r="H490" s="382">
        <f t="shared" si="33"/>
        <v>15.853617</v>
      </c>
      <c r="I490" s="383">
        <f t="shared" si="32"/>
        <v>31.71</v>
      </c>
    </row>
    <row r="491" spans="1:9" x14ac:dyDescent="0.25">
      <c r="A491" s="579" t="s">
        <v>1401</v>
      </c>
      <c r="B491" s="608" t="s">
        <v>504</v>
      </c>
      <c r="C491" s="594" t="s">
        <v>1402</v>
      </c>
      <c r="D491" s="452" t="s">
        <v>1403</v>
      </c>
      <c r="E491" s="414" t="s">
        <v>1082</v>
      </c>
      <c r="F491" s="457">
        <v>2</v>
      </c>
      <c r="G491" s="457">
        <v>98.26</v>
      </c>
      <c r="H491" s="382">
        <f t="shared" si="33"/>
        <v>122.756218</v>
      </c>
      <c r="I491" s="383">
        <f t="shared" si="32"/>
        <v>245.51</v>
      </c>
    </row>
    <row r="492" spans="1:9" x14ac:dyDescent="0.25">
      <c r="A492" s="579" t="s">
        <v>1404</v>
      </c>
      <c r="B492" s="608" t="s">
        <v>504</v>
      </c>
      <c r="C492" s="594" t="s">
        <v>1405</v>
      </c>
      <c r="D492" s="452" t="s">
        <v>1406</v>
      </c>
      <c r="E492" s="414" t="s">
        <v>1082</v>
      </c>
      <c r="F492" s="457">
        <v>2</v>
      </c>
      <c r="G492" s="457">
        <v>454.3</v>
      </c>
      <c r="H492" s="382">
        <f t="shared" si="33"/>
        <v>567.55699000000004</v>
      </c>
      <c r="I492" s="383">
        <f t="shared" si="32"/>
        <v>1135.1099999999999</v>
      </c>
    </row>
    <row r="493" spans="1:9" x14ac:dyDescent="0.25">
      <c r="A493" s="579" t="s">
        <v>1407</v>
      </c>
      <c r="B493" s="608" t="s">
        <v>504</v>
      </c>
      <c r="C493" s="594" t="s">
        <v>1408</v>
      </c>
      <c r="D493" s="452" t="s">
        <v>1409</v>
      </c>
      <c r="E493" s="414" t="s">
        <v>1082</v>
      </c>
      <c r="F493" s="457">
        <v>4</v>
      </c>
      <c r="G493" s="457">
        <v>411.83</v>
      </c>
      <c r="H493" s="382">
        <f t="shared" si="33"/>
        <v>514.49921900000004</v>
      </c>
      <c r="I493" s="383">
        <f t="shared" si="32"/>
        <v>2058</v>
      </c>
    </row>
    <row r="494" spans="1:9" x14ac:dyDescent="0.25">
      <c r="A494" s="579" t="s">
        <v>1410</v>
      </c>
      <c r="B494" s="608" t="s">
        <v>504</v>
      </c>
      <c r="C494" s="594" t="s">
        <v>1411</v>
      </c>
      <c r="D494" s="452" t="s">
        <v>1412</v>
      </c>
      <c r="E494" s="414" t="s">
        <v>1082</v>
      </c>
      <c r="F494" s="457">
        <v>4</v>
      </c>
      <c r="G494" s="457">
        <v>63.26</v>
      </c>
      <c r="H494" s="382">
        <f t="shared" si="33"/>
        <v>79.030717999999993</v>
      </c>
      <c r="I494" s="383">
        <f t="shared" si="32"/>
        <v>316.12</v>
      </c>
    </row>
    <row r="495" spans="1:9" x14ac:dyDescent="0.25">
      <c r="A495" s="579" t="s">
        <v>1413</v>
      </c>
      <c r="B495" s="608" t="s">
        <v>504</v>
      </c>
      <c r="C495" s="594" t="s">
        <v>1414</v>
      </c>
      <c r="D495" s="452" t="s">
        <v>1415</v>
      </c>
      <c r="E495" s="414" t="s">
        <v>1082</v>
      </c>
      <c r="F495" s="457">
        <v>24</v>
      </c>
      <c r="G495" s="457">
        <v>106.9</v>
      </c>
      <c r="H495" s="382">
        <f t="shared" si="33"/>
        <v>133.55017000000001</v>
      </c>
      <c r="I495" s="383">
        <f t="shared" si="32"/>
        <v>3205.2</v>
      </c>
    </row>
    <row r="496" spans="1:9" x14ac:dyDescent="0.25">
      <c r="A496" s="579" t="s">
        <v>1416</v>
      </c>
      <c r="B496" s="608" t="s">
        <v>504</v>
      </c>
      <c r="C496" s="594" t="s">
        <v>1417</v>
      </c>
      <c r="D496" s="452" t="s">
        <v>1418</v>
      </c>
      <c r="E496" s="414" t="s">
        <v>1082</v>
      </c>
      <c r="F496" s="457">
        <v>2</v>
      </c>
      <c r="G496" s="457">
        <v>71.33</v>
      </c>
      <c r="H496" s="382">
        <f t="shared" si="33"/>
        <v>89.112568999999993</v>
      </c>
      <c r="I496" s="383">
        <f t="shared" si="32"/>
        <v>178.23</v>
      </c>
    </row>
    <row r="497" spans="1:9" x14ac:dyDescent="0.25">
      <c r="A497" s="579" t="s">
        <v>1419</v>
      </c>
      <c r="B497" s="608" t="s">
        <v>504</v>
      </c>
      <c r="C497" s="594" t="s">
        <v>1420</v>
      </c>
      <c r="D497" s="452" t="s">
        <v>1421</v>
      </c>
      <c r="E497" s="414" t="s">
        <v>473</v>
      </c>
      <c r="F497" s="457">
        <v>6</v>
      </c>
      <c r="G497" s="457">
        <v>77.400000000000006</v>
      </c>
      <c r="H497" s="382">
        <f t="shared" si="33"/>
        <v>96.695820000000012</v>
      </c>
      <c r="I497" s="383">
        <f t="shared" si="32"/>
        <v>580.16999999999996</v>
      </c>
    </row>
    <row r="498" spans="1:9" x14ac:dyDescent="0.25">
      <c r="A498" s="579" t="s">
        <v>1422</v>
      </c>
      <c r="B498" s="608" t="s">
        <v>504</v>
      </c>
      <c r="C498" s="594" t="s">
        <v>1423</v>
      </c>
      <c r="D498" s="452" t="s">
        <v>1424</v>
      </c>
      <c r="E498" s="414" t="s">
        <v>473</v>
      </c>
      <c r="F498" s="457">
        <v>49.68</v>
      </c>
      <c r="G498" s="457">
        <v>47.86</v>
      </c>
      <c r="H498" s="382">
        <f t="shared" si="33"/>
        <v>59.791497999999997</v>
      </c>
      <c r="I498" s="383">
        <f t="shared" si="32"/>
        <v>2970.44</v>
      </c>
    </row>
    <row r="499" spans="1:9" x14ac:dyDescent="0.25">
      <c r="A499" s="579" t="s">
        <v>1425</v>
      </c>
      <c r="B499" s="608" t="s">
        <v>504</v>
      </c>
      <c r="C499" s="594" t="s">
        <v>1426</v>
      </c>
      <c r="D499" s="452" t="s">
        <v>1427</v>
      </c>
      <c r="E499" s="414" t="s">
        <v>1082</v>
      </c>
      <c r="F499" s="457">
        <v>2</v>
      </c>
      <c r="G499" s="457">
        <v>12630.88</v>
      </c>
      <c r="H499" s="382">
        <f t="shared" si="33"/>
        <v>15779.758383999999</v>
      </c>
      <c r="I499" s="383">
        <f t="shared" si="32"/>
        <v>31559.52</v>
      </c>
    </row>
    <row r="500" spans="1:9" x14ac:dyDescent="0.25">
      <c r="A500" s="579" t="s">
        <v>1428</v>
      </c>
      <c r="B500" s="608" t="s">
        <v>504</v>
      </c>
      <c r="C500" s="594" t="s">
        <v>1429</v>
      </c>
      <c r="D500" s="452" t="s">
        <v>1430</v>
      </c>
      <c r="E500" s="414" t="s">
        <v>1082</v>
      </c>
      <c r="F500" s="457">
        <v>3</v>
      </c>
      <c r="G500" s="457">
        <v>143.72</v>
      </c>
      <c r="H500" s="382">
        <f t="shared" si="33"/>
        <v>179.549396</v>
      </c>
      <c r="I500" s="383">
        <f t="shared" si="32"/>
        <v>538.65</v>
      </c>
    </row>
    <row r="501" spans="1:9" x14ac:dyDescent="0.25">
      <c r="A501" s="579" t="s">
        <v>1431</v>
      </c>
      <c r="B501" s="608" t="s">
        <v>504</v>
      </c>
      <c r="C501" s="594" t="s">
        <v>1432</v>
      </c>
      <c r="D501" s="452" t="s">
        <v>1433</v>
      </c>
      <c r="E501" s="414" t="s">
        <v>1082</v>
      </c>
      <c r="F501" s="457">
        <v>2</v>
      </c>
      <c r="G501" s="457">
        <v>72.819999999999993</v>
      </c>
      <c r="H501" s="382">
        <f t="shared" si="33"/>
        <v>90.974025999999995</v>
      </c>
      <c r="I501" s="383">
        <f>ROUND(H501*F501,2)</f>
        <v>181.95</v>
      </c>
    </row>
    <row r="502" spans="1:9" x14ac:dyDescent="0.25">
      <c r="A502" s="579" t="s">
        <v>1434</v>
      </c>
      <c r="B502" s="608" t="s">
        <v>504</v>
      </c>
      <c r="C502" s="594" t="s">
        <v>1435</v>
      </c>
      <c r="D502" s="452" t="s">
        <v>1436</v>
      </c>
      <c r="E502" s="414" t="s">
        <v>1082</v>
      </c>
      <c r="F502" s="457">
        <v>1</v>
      </c>
      <c r="G502" s="457">
        <v>414.75</v>
      </c>
      <c r="H502" s="382">
        <f t="shared" si="33"/>
        <v>518.14717500000006</v>
      </c>
      <c r="I502" s="383">
        <f>ROUND(H502*F502,2)</f>
        <v>518.15</v>
      </c>
    </row>
    <row r="503" spans="1:9" x14ac:dyDescent="0.25">
      <c r="A503" s="579" t="s">
        <v>1437</v>
      </c>
      <c r="B503" s="608" t="s">
        <v>504</v>
      </c>
      <c r="C503" s="594" t="s">
        <v>1438</v>
      </c>
      <c r="D503" s="452" t="s">
        <v>1439</v>
      </c>
      <c r="E503" s="414" t="s">
        <v>1082</v>
      </c>
      <c r="F503" s="457">
        <v>2</v>
      </c>
      <c r="G503" s="457">
        <v>34.5</v>
      </c>
      <c r="H503" s="382">
        <f t="shared" si="33"/>
        <v>43.100850000000001</v>
      </c>
      <c r="I503" s="383">
        <f>ROUND(H503*F503,2)</f>
        <v>86.2</v>
      </c>
    </row>
    <row r="504" spans="1:9" x14ac:dyDescent="0.25">
      <c r="A504" s="579" t="s">
        <v>1440</v>
      </c>
      <c r="B504" s="608" t="s">
        <v>504</v>
      </c>
      <c r="C504" s="594" t="s">
        <v>1441</v>
      </c>
      <c r="D504" s="452" t="s">
        <v>1442</v>
      </c>
      <c r="E504" s="414" t="s">
        <v>473</v>
      </c>
      <c r="F504" s="457">
        <v>8</v>
      </c>
      <c r="G504" s="457">
        <v>100</v>
      </c>
      <c r="H504" s="382">
        <f t="shared" si="33"/>
        <v>124.93</v>
      </c>
      <c r="I504" s="383">
        <f>ROUND(H504*F504,2)</f>
        <v>999.44</v>
      </c>
    </row>
    <row r="505" spans="1:9" x14ac:dyDescent="0.25">
      <c r="A505" s="579"/>
      <c r="B505" s="608"/>
      <c r="C505" s="594"/>
      <c r="D505" s="416"/>
      <c r="E505" s="414"/>
      <c r="F505" s="457"/>
      <c r="G505" s="457"/>
      <c r="H505" s="382"/>
      <c r="I505" s="383"/>
    </row>
    <row r="506" spans="1:9" x14ac:dyDescent="0.25">
      <c r="A506" s="577" t="s">
        <v>1443</v>
      </c>
      <c r="B506" s="604" t="s">
        <v>601</v>
      </c>
      <c r="C506" s="588"/>
      <c r="D506" s="446" t="s">
        <v>1444</v>
      </c>
      <c r="E506" s="447"/>
      <c r="F506" s="448"/>
      <c r="G506" s="448"/>
      <c r="H506" s="448"/>
      <c r="I506" s="449">
        <f>SUM(I507:I552)</f>
        <v>332015.87999999989</v>
      </c>
    </row>
    <row r="507" spans="1:9" x14ac:dyDescent="0.25">
      <c r="A507" s="579" t="s">
        <v>1445</v>
      </c>
      <c r="B507" s="609" t="s">
        <v>315</v>
      </c>
      <c r="C507" s="594" t="s">
        <v>1446</v>
      </c>
      <c r="D507" s="452" t="s">
        <v>1447</v>
      </c>
      <c r="E507" s="414" t="s">
        <v>1082</v>
      </c>
      <c r="F507" s="457">
        <v>53</v>
      </c>
      <c r="G507" s="382">
        <v>290.74</v>
      </c>
      <c r="H507" s="382">
        <f t="shared" si="33"/>
        <v>363.22148200000004</v>
      </c>
      <c r="I507" s="383">
        <f t="shared" ref="I507:I552" si="34">ROUND(H507*F507,2)</f>
        <v>19250.740000000002</v>
      </c>
    </row>
    <row r="508" spans="1:9" x14ac:dyDescent="0.25">
      <c r="A508" s="579" t="s">
        <v>1448</v>
      </c>
      <c r="B508" s="609" t="s">
        <v>315</v>
      </c>
      <c r="C508" s="594" t="s">
        <v>1449</v>
      </c>
      <c r="D508" s="452" t="s">
        <v>1450</v>
      </c>
      <c r="E508" s="414" t="s">
        <v>1082</v>
      </c>
      <c r="F508" s="457">
        <v>4</v>
      </c>
      <c r="G508" s="382">
        <v>9.34</v>
      </c>
      <c r="H508" s="382">
        <f t="shared" si="33"/>
        <v>11.668462</v>
      </c>
      <c r="I508" s="383">
        <f t="shared" si="34"/>
        <v>46.67</v>
      </c>
    </row>
    <row r="509" spans="1:9" ht="28.5" x14ac:dyDescent="0.25">
      <c r="A509" s="579" t="s">
        <v>1451</v>
      </c>
      <c r="B509" s="609" t="s">
        <v>315</v>
      </c>
      <c r="C509" s="594" t="s">
        <v>1452</v>
      </c>
      <c r="D509" s="452" t="s">
        <v>1453</v>
      </c>
      <c r="E509" s="414" t="s">
        <v>1082</v>
      </c>
      <c r="F509" s="457">
        <v>2</v>
      </c>
      <c r="G509" s="382">
        <v>5.14</v>
      </c>
      <c r="H509" s="382">
        <f t="shared" si="33"/>
        <v>6.4214019999999996</v>
      </c>
      <c r="I509" s="383">
        <f t="shared" si="34"/>
        <v>12.84</v>
      </c>
    </row>
    <row r="510" spans="1:9" ht="28.5" x14ac:dyDescent="0.25">
      <c r="A510" s="579" t="s">
        <v>1454</v>
      </c>
      <c r="B510" s="609" t="s">
        <v>315</v>
      </c>
      <c r="C510" s="594" t="s">
        <v>1455</v>
      </c>
      <c r="D510" s="452" t="s">
        <v>1456</v>
      </c>
      <c r="E510" s="414" t="s">
        <v>1082</v>
      </c>
      <c r="F510" s="457">
        <v>1</v>
      </c>
      <c r="G510" s="382">
        <v>18.649999999999999</v>
      </c>
      <c r="H510" s="382">
        <f t="shared" si="33"/>
        <v>23.299444999999999</v>
      </c>
      <c r="I510" s="383">
        <f t="shared" si="34"/>
        <v>23.3</v>
      </c>
    </row>
    <row r="511" spans="1:9" ht="28.5" x14ac:dyDescent="0.25">
      <c r="A511" s="579" t="s">
        <v>1457</v>
      </c>
      <c r="B511" s="609" t="s">
        <v>315</v>
      </c>
      <c r="C511" s="594" t="s">
        <v>1458</v>
      </c>
      <c r="D511" s="452" t="s">
        <v>1459</v>
      </c>
      <c r="E511" s="414" t="s">
        <v>1082</v>
      </c>
      <c r="F511" s="457">
        <v>4</v>
      </c>
      <c r="G511" s="382">
        <v>53.92</v>
      </c>
      <c r="H511" s="382">
        <f t="shared" si="33"/>
        <v>67.362256000000002</v>
      </c>
      <c r="I511" s="383">
        <f t="shared" si="34"/>
        <v>269.45</v>
      </c>
    </row>
    <row r="512" spans="1:9" ht="28.5" x14ac:dyDescent="0.25">
      <c r="A512" s="579" t="s">
        <v>1460</v>
      </c>
      <c r="B512" s="609" t="s">
        <v>315</v>
      </c>
      <c r="C512" s="594" t="s">
        <v>1461</v>
      </c>
      <c r="D512" s="452" t="s">
        <v>1462</v>
      </c>
      <c r="E512" s="414" t="s">
        <v>1082</v>
      </c>
      <c r="F512" s="457">
        <v>6</v>
      </c>
      <c r="G512" s="382">
        <v>4.9000000000000004</v>
      </c>
      <c r="H512" s="382">
        <f t="shared" si="33"/>
        <v>6.1215700000000002</v>
      </c>
      <c r="I512" s="383">
        <f t="shared" si="34"/>
        <v>36.729999999999997</v>
      </c>
    </row>
    <row r="513" spans="1:9" ht="28.5" x14ac:dyDescent="0.25">
      <c r="A513" s="579" t="s">
        <v>1463</v>
      </c>
      <c r="B513" s="609" t="s">
        <v>315</v>
      </c>
      <c r="C513" s="594" t="s">
        <v>1464</v>
      </c>
      <c r="D513" s="452" t="s">
        <v>1465</v>
      </c>
      <c r="E513" s="414" t="s">
        <v>1082</v>
      </c>
      <c r="F513" s="457">
        <v>38</v>
      </c>
      <c r="G513" s="382">
        <v>9.5299999999999994</v>
      </c>
      <c r="H513" s="382">
        <f t="shared" si="33"/>
        <v>11.905828999999999</v>
      </c>
      <c r="I513" s="383">
        <f t="shared" si="34"/>
        <v>452.42</v>
      </c>
    </row>
    <row r="514" spans="1:9" ht="28.5" x14ac:dyDescent="0.25">
      <c r="A514" s="579" t="s">
        <v>1466</v>
      </c>
      <c r="B514" s="609" t="s">
        <v>315</v>
      </c>
      <c r="C514" s="594" t="s">
        <v>1467</v>
      </c>
      <c r="D514" s="452" t="s">
        <v>1468</v>
      </c>
      <c r="E514" s="414" t="s">
        <v>1082</v>
      </c>
      <c r="F514" s="457">
        <v>120</v>
      </c>
      <c r="G514" s="382">
        <v>7.93</v>
      </c>
      <c r="H514" s="382">
        <f t="shared" si="33"/>
        <v>9.9069489999999991</v>
      </c>
      <c r="I514" s="383">
        <f t="shared" si="34"/>
        <v>1188.83</v>
      </c>
    </row>
    <row r="515" spans="1:9" ht="28.5" x14ac:dyDescent="0.25">
      <c r="A515" s="579" t="s">
        <v>1469</v>
      </c>
      <c r="B515" s="609" t="s">
        <v>315</v>
      </c>
      <c r="C515" s="594" t="s">
        <v>1470</v>
      </c>
      <c r="D515" s="452" t="s">
        <v>1471</v>
      </c>
      <c r="E515" s="414" t="s">
        <v>1082</v>
      </c>
      <c r="F515" s="457">
        <v>684</v>
      </c>
      <c r="G515" s="382">
        <v>4.7</v>
      </c>
      <c r="H515" s="382">
        <f t="shared" si="33"/>
        <v>5.8717100000000002</v>
      </c>
      <c r="I515" s="383">
        <f t="shared" si="34"/>
        <v>4016.25</v>
      </c>
    </row>
    <row r="516" spans="1:9" ht="28.5" x14ac:dyDescent="0.25">
      <c r="A516" s="579" t="s">
        <v>1472</v>
      </c>
      <c r="B516" s="609" t="s">
        <v>315</v>
      </c>
      <c r="C516" s="594" t="s">
        <v>1473</v>
      </c>
      <c r="D516" s="452" t="s">
        <v>1474</v>
      </c>
      <c r="E516" s="414" t="s">
        <v>1082</v>
      </c>
      <c r="F516" s="457">
        <v>480</v>
      </c>
      <c r="G516" s="382">
        <v>5.35</v>
      </c>
      <c r="H516" s="382">
        <f t="shared" si="33"/>
        <v>6.6837549999999997</v>
      </c>
      <c r="I516" s="383">
        <f t="shared" si="34"/>
        <v>3208.2</v>
      </c>
    </row>
    <row r="517" spans="1:9" ht="28.5" x14ac:dyDescent="0.25">
      <c r="A517" s="579" t="s">
        <v>1475</v>
      </c>
      <c r="B517" s="609" t="s">
        <v>315</v>
      </c>
      <c r="C517" s="594" t="s">
        <v>1476</v>
      </c>
      <c r="D517" s="452" t="s">
        <v>1477</v>
      </c>
      <c r="E517" s="414" t="s">
        <v>1082</v>
      </c>
      <c r="F517" s="457">
        <v>199</v>
      </c>
      <c r="G517" s="382">
        <v>6.27</v>
      </c>
      <c r="H517" s="382">
        <f t="shared" si="33"/>
        <v>7.8331109999999997</v>
      </c>
      <c r="I517" s="383">
        <f t="shared" si="34"/>
        <v>1558.79</v>
      </c>
    </row>
    <row r="518" spans="1:9" ht="28.5" x14ac:dyDescent="0.25">
      <c r="A518" s="579" t="s">
        <v>1478</v>
      </c>
      <c r="B518" s="609" t="s">
        <v>315</v>
      </c>
      <c r="C518" s="594" t="s">
        <v>1479</v>
      </c>
      <c r="D518" s="452" t="s">
        <v>1480</v>
      </c>
      <c r="E518" s="414" t="s">
        <v>1082</v>
      </c>
      <c r="F518" s="457">
        <v>33</v>
      </c>
      <c r="G518" s="382">
        <v>6.72</v>
      </c>
      <c r="H518" s="382">
        <f t="shared" si="33"/>
        <v>8.3952960000000001</v>
      </c>
      <c r="I518" s="383">
        <f t="shared" si="34"/>
        <v>277.04000000000002</v>
      </c>
    </row>
    <row r="519" spans="1:9" ht="28.5" x14ac:dyDescent="0.25">
      <c r="A519" s="579" t="s">
        <v>1481</v>
      </c>
      <c r="B519" s="609" t="s">
        <v>315</v>
      </c>
      <c r="C519" s="594" t="s">
        <v>1482</v>
      </c>
      <c r="D519" s="452" t="s">
        <v>1483</v>
      </c>
      <c r="E519" s="414" t="s">
        <v>1082</v>
      </c>
      <c r="F519" s="457">
        <v>227</v>
      </c>
      <c r="G519" s="382">
        <v>10.78</v>
      </c>
      <c r="H519" s="382">
        <f t="shared" si="33"/>
        <v>13.467454</v>
      </c>
      <c r="I519" s="383">
        <f t="shared" si="34"/>
        <v>3057.11</v>
      </c>
    </row>
    <row r="520" spans="1:9" ht="28.5" x14ac:dyDescent="0.25">
      <c r="A520" s="579" t="s">
        <v>1484</v>
      </c>
      <c r="B520" s="609" t="s">
        <v>315</v>
      </c>
      <c r="C520" s="594" t="s">
        <v>1485</v>
      </c>
      <c r="D520" s="452" t="s">
        <v>1486</v>
      </c>
      <c r="E520" s="414" t="s">
        <v>1082</v>
      </c>
      <c r="F520" s="457">
        <v>2</v>
      </c>
      <c r="G520" s="382">
        <v>11.45</v>
      </c>
      <c r="H520" s="382">
        <f t="shared" si="33"/>
        <v>14.304485</v>
      </c>
      <c r="I520" s="383">
        <f t="shared" si="34"/>
        <v>28.61</v>
      </c>
    </row>
    <row r="521" spans="1:9" ht="28.5" x14ac:dyDescent="0.25">
      <c r="A521" s="579" t="s">
        <v>1487</v>
      </c>
      <c r="B521" s="609" t="s">
        <v>315</v>
      </c>
      <c r="C521" s="594" t="s">
        <v>1488</v>
      </c>
      <c r="D521" s="452" t="s">
        <v>1489</v>
      </c>
      <c r="E521" s="414" t="s">
        <v>1082</v>
      </c>
      <c r="F521" s="457">
        <v>274</v>
      </c>
      <c r="G521" s="382">
        <v>14.2</v>
      </c>
      <c r="H521" s="382">
        <f t="shared" si="33"/>
        <v>17.74006</v>
      </c>
      <c r="I521" s="383">
        <f t="shared" si="34"/>
        <v>4860.78</v>
      </c>
    </row>
    <row r="522" spans="1:9" ht="28.5" x14ac:dyDescent="0.25">
      <c r="A522" s="579" t="s">
        <v>1490</v>
      </c>
      <c r="B522" s="609" t="s">
        <v>315</v>
      </c>
      <c r="C522" s="594" t="s">
        <v>1491</v>
      </c>
      <c r="D522" s="452" t="s">
        <v>1492</v>
      </c>
      <c r="E522" s="414" t="s">
        <v>1082</v>
      </c>
      <c r="F522" s="457">
        <v>76</v>
      </c>
      <c r="G522" s="382">
        <v>14.25</v>
      </c>
      <c r="H522" s="382">
        <f t="shared" si="33"/>
        <v>17.802524999999999</v>
      </c>
      <c r="I522" s="383">
        <f t="shared" si="34"/>
        <v>1352.99</v>
      </c>
    </row>
    <row r="523" spans="1:9" ht="28.5" x14ac:dyDescent="0.25">
      <c r="A523" s="579" t="s">
        <v>1493</v>
      </c>
      <c r="B523" s="609" t="s">
        <v>315</v>
      </c>
      <c r="C523" s="594" t="s">
        <v>1494</v>
      </c>
      <c r="D523" s="452" t="s">
        <v>1495</v>
      </c>
      <c r="E523" s="414" t="s">
        <v>1082</v>
      </c>
      <c r="F523" s="457">
        <v>8</v>
      </c>
      <c r="G523" s="382">
        <v>9.7799999999999994</v>
      </c>
      <c r="H523" s="382">
        <f t="shared" si="33"/>
        <v>12.218153999999998</v>
      </c>
      <c r="I523" s="383">
        <f t="shared" si="34"/>
        <v>97.75</v>
      </c>
    </row>
    <row r="524" spans="1:9" ht="28.5" x14ac:dyDescent="0.25">
      <c r="A524" s="579" t="s">
        <v>1496</v>
      </c>
      <c r="B524" s="609" t="s">
        <v>315</v>
      </c>
      <c r="C524" s="594" t="s">
        <v>1497</v>
      </c>
      <c r="D524" s="452" t="s">
        <v>1498</v>
      </c>
      <c r="E524" s="414" t="s">
        <v>1082</v>
      </c>
      <c r="F524" s="457">
        <v>8</v>
      </c>
      <c r="G524" s="382">
        <v>12.11</v>
      </c>
      <c r="H524" s="382">
        <f t="shared" si="33"/>
        <v>15.129023</v>
      </c>
      <c r="I524" s="383">
        <f t="shared" si="34"/>
        <v>121.03</v>
      </c>
    </row>
    <row r="525" spans="1:9" ht="28.5" x14ac:dyDescent="0.25">
      <c r="A525" s="579" t="s">
        <v>1499</v>
      </c>
      <c r="B525" s="609" t="s">
        <v>315</v>
      </c>
      <c r="C525" s="594" t="s">
        <v>1500</v>
      </c>
      <c r="D525" s="452" t="s">
        <v>1501</v>
      </c>
      <c r="E525" s="414" t="s">
        <v>1082</v>
      </c>
      <c r="F525" s="457">
        <v>31</v>
      </c>
      <c r="G525" s="382">
        <v>12.05</v>
      </c>
      <c r="H525" s="382">
        <f t="shared" si="33"/>
        <v>15.054065000000001</v>
      </c>
      <c r="I525" s="383">
        <f t="shared" si="34"/>
        <v>466.68</v>
      </c>
    </row>
    <row r="526" spans="1:9" ht="28.5" x14ac:dyDescent="0.25">
      <c r="A526" s="579" t="s">
        <v>1502</v>
      </c>
      <c r="B526" s="609" t="s">
        <v>315</v>
      </c>
      <c r="C526" s="594" t="s">
        <v>1503</v>
      </c>
      <c r="D526" s="452" t="s">
        <v>1504</v>
      </c>
      <c r="E526" s="414" t="s">
        <v>1082</v>
      </c>
      <c r="F526" s="457">
        <v>1</v>
      </c>
      <c r="G526" s="382">
        <v>19.739999999999998</v>
      </c>
      <c r="H526" s="382">
        <f t="shared" si="33"/>
        <v>24.661181999999997</v>
      </c>
      <c r="I526" s="383">
        <f t="shared" si="34"/>
        <v>24.66</v>
      </c>
    </row>
    <row r="527" spans="1:9" ht="28.5" x14ac:dyDescent="0.25">
      <c r="A527" s="579" t="s">
        <v>1505</v>
      </c>
      <c r="B527" s="609" t="s">
        <v>315</v>
      </c>
      <c r="C527" s="594" t="s">
        <v>1506</v>
      </c>
      <c r="D527" s="452" t="s">
        <v>1507</v>
      </c>
      <c r="E527" s="414" t="s">
        <v>1082</v>
      </c>
      <c r="F527" s="457">
        <v>90</v>
      </c>
      <c r="G527" s="382">
        <v>26.98</v>
      </c>
      <c r="H527" s="382">
        <f t="shared" si="33"/>
        <v>33.706113999999999</v>
      </c>
      <c r="I527" s="383">
        <f t="shared" si="34"/>
        <v>3033.55</v>
      </c>
    </row>
    <row r="528" spans="1:9" ht="28.5" x14ac:dyDescent="0.25">
      <c r="A528" s="579" t="s">
        <v>1508</v>
      </c>
      <c r="B528" s="609" t="s">
        <v>315</v>
      </c>
      <c r="C528" s="594" t="s">
        <v>1509</v>
      </c>
      <c r="D528" s="452" t="s">
        <v>1510</v>
      </c>
      <c r="E528" s="414" t="s">
        <v>1082</v>
      </c>
      <c r="F528" s="457">
        <v>1</v>
      </c>
      <c r="G528" s="382">
        <v>41.26</v>
      </c>
      <c r="H528" s="382">
        <f t="shared" si="33"/>
        <v>51.546118</v>
      </c>
      <c r="I528" s="383">
        <f t="shared" si="34"/>
        <v>51.55</v>
      </c>
    </row>
    <row r="529" spans="1:10" ht="42.75" x14ac:dyDescent="0.25">
      <c r="A529" s="579" t="s">
        <v>1511</v>
      </c>
      <c r="B529" s="619" t="s">
        <v>315</v>
      </c>
      <c r="C529" s="594" t="s">
        <v>1512</v>
      </c>
      <c r="D529" s="452" t="s">
        <v>1513</v>
      </c>
      <c r="E529" s="414" t="s">
        <v>473</v>
      </c>
      <c r="F529" s="457">
        <v>700.12</v>
      </c>
      <c r="G529" s="382">
        <v>33.409999999999997</v>
      </c>
      <c r="H529" s="382">
        <f t="shared" si="33"/>
        <v>41.739112999999996</v>
      </c>
      <c r="I529" s="383">
        <f t="shared" si="34"/>
        <v>29222.39</v>
      </c>
      <c r="J529" s="691"/>
    </row>
    <row r="530" spans="1:10" ht="42.75" x14ac:dyDescent="0.25">
      <c r="A530" s="579" t="s">
        <v>1514</v>
      </c>
      <c r="B530" s="619" t="s">
        <v>315</v>
      </c>
      <c r="C530" s="594" t="s">
        <v>1515</v>
      </c>
      <c r="D530" s="452" t="s">
        <v>1516</v>
      </c>
      <c r="E530" s="414" t="s">
        <v>473</v>
      </c>
      <c r="F530" s="457">
        <v>1078.0239999999999</v>
      </c>
      <c r="G530" s="382">
        <v>50.18</v>
      </c>
      <c r="H530" s="382">
        <f t="shared" si="33"/>
        <v>62.689874000000003</v>
      </c>
      <c r="I530" s="383">
        <f t="shared" si="34"/>
        <v>67581.19</v>
      </c>
      <c r="J530" s="691"/>
    </row>
    <row r="531" spans="1:10" ht="42.75" x14ac:dyDescent="0.25">
      <c r="A531" s="579" t="s">
        <v>1517</v>
      </c>
      <c r="B531" s="619" t="s">
        <v>315</v>
      </c>
      <c r="C531" s="594" t="s">
        <v>1518</v>
      </c>
      <c r="D531" s="452" t="s">
        <v>1519</v>
      </c>
      <c r="E531" s="414" t="s">
        <v>473</v>
      </c>
      <c r="F531" s="457">
        <v>849.45</v>
      </c>
      <c r="G531" s="382">
        <v>22.82</v>
      </c>
      <c r="H531" s="382">
        <f t="shared" si="33"/>
        <v>28.509025999999999</v>
      </c>
      <c r="I531" s="383">
        <f t="shared" si="34"/>
        <v>24216.99</v>
      </c>
      <c r="J531" s="691"/>
    </row>
    <row r="532" spans="1:10" ht="42.75" x14ac:dyDescent="0.25">
      <c r="A532" s="579" t="s">
        <v>1520</v>
      </c>
      <c r="B532" s="619" t="s">
        <v>315</v>
      </c>
      <c r="C532" s="594" t="s">
        <v>1521</v>
      </c>
      <c r="D532" s="452" t="s">
        <v>1522</v>
      </c>
      <c r="E532" s="414" t="s">
        <v>473</v>
      </c>
      <c r="F532" s="457">
        <v>1499.7099999999998</v>
      </c>
      <c r="G532" s="382">
        <v>39.56</v>
      </c>
      <c r="H532" s="382">
        <f t="shared" si="33"/>
        <v>49.422308000000001</v>
      </c>
      <c r="I532" s="383">
        <f t="shared" si="34"/>
        <v>74119.13</v>
      </c>
      <c r="J532" s="691"/>
    </row>
    <row r="533" spans="1:10" ht="28.5" x14ac:dyDescent="0.25">
      <c r="A533" s="579" t="s">
        <v>1523</v>
      </c>
      <c r="B533" s="619" t="s">
        <v>315</v>
      </c>
      <c r="C533" s="594" t="s">
        <v>1524</v>
      </c>
      <c r="D533" s="452" t="s">
        <v>1525</v>
      </c>
      <c r="E533" s="414" t="s">
        <v>473</v>
      </c>
      <c r="F533" s="457">
        <v>391.25</v>
      </c>
      <c r="G533" s="382">
        <v>39.39</v>
      </c>
      <c r="H533" s="382">
        <f t="shared" si="33"/>
        <v>49.209927</v>
      </c>
      <c r="I533" s="383">
        <f t="shared" si="34"/>
        <v>19253.38</v>
      </c>
      <c r="J533" s="691"/>
    </row>
    <row r="534" spans="1:10" x14ac:dyDescent="0.25">
      <c r="A534" s="579" t="s">
        <v>1526</v>
      </c>
      <c r="B534" s="608" t="s">
        <v>601</v>
      </c>
      <c r="C534" s="594" t="s">
        <v>1527</v>
      </c>
      <c r="D534" s="452" t="s">
        <v>1528</v>
      </c>
      <c r="E534" s="414" t="s">
        <v>1082</v>
      </c>
      <c r="F534" s="457">
        <v>38</v>
      </c>
      <c r="G534" s="382">
        <v>181.41</v>
      </c>
      <c r="H534" s="382">
        <f t="shared" si="33"/>
        <v>226.635513</v>
      </c>
      <c r="I534" s="383">
        <f t="shared" si="34"/>
        <v>8612.15</v>
      </c>
    </row>
    <row r="535" spans="1:10" x14ac:dyDescent="0.25">
      <c r="A535" s="579" t="s">
        <v>1529</v>
      </c>
      <c r="B535" s="608" t="s">
        <v>601</v>
      </c>
      <c r="C535" s="594" t="s">
        <v>1530</v>
      </c>
      <c r="D535" s="452" t="s">
        <v>1531</v>
      </c>
      <c r="E535" s="414" t="s">
        <v>378</v>
      </c>
      <c r="F535" s="457">
        <v>55.620000000000005</v>
      </c>
      <c r="G535" s="382">
        <v>140.58000000000001</v>
      </c>
      <c r="H535" s="382">
        <f t="shared" si="33"/>
        <v>175.62659400000001</v>
      </c>
      <c r="I535" s="383">
        <f t="shared" si="34"/>
        <v>9768.35</v>
      </c>
    </row>
    <row r="536" spans="1:10" x14ac:dyDescent="0.25">
      <c r="A536" s="579" t="s">
        <v>1532</v>
      </c>
      <c r="B536" s="608" t="s">
        <v>601</v>
      </c>
      <c r="C536" s="594" t="s">
        <v>1533</v>
      </c>
      <c r="D536" s="452" t="s">
        <v>1534</v>
      </c>
      <c r="E536" s="414" t="s">
        <v>1082</v>
      </c>
      <c r="F536" s="457">
        <v>121</v>
      </c>
      <c r="G536" s="382">
        <v>17.95</v>
      </c>
      <c r="H536" s="382">
        <f t="shared" si="33"/>
        <v>22.424934999999998</v>
      </c>
      <c r="I536" s="383">
        <f t="shared" si="34"/>
        <v>2713.42</v>
      </c>
    </row>
    <row r="537" spans="1:10" x14ac:dyDescent="0.25">
      <c r="A537" s="579" t="s">
        <v>1535</v>
      </c>
      <c r="B537" s="608" t="s">
        <v>601</v>
      </c>
      <c r="C537" s="594" t="s">
        <v>1536</v>
      </c>
      <c r="D537" s="452" t="s">
        <v>1537</v>
      </c>
      <c r="E537" s="414" t="s">
        <v>1082</v>
      </c>
      <c r="F537" s="457">
        <v>6</v>
      </c>
      <c r="G537" s="382">
        <v>16.63</v>
      </c>
      <c r="H537" s="382">
        <f t="shared" si="33"/>
        <v>20.775858999999997</v>
      </c>
      <c r="I537" s="383">
        <f t="shared" si="34"/>
        <v>124.66</v>
      </c>
    </row>
    <row r="538" spans="1:10" x14ac:dyDescent="0.25">
      <c r="A538" s="579" t="s">
        <v>1538</v>
      </c>
      <c r="B538" s="608" t="s">
        <v>601</v>
      </c>
      <c r="C538" s="594" t="s">
        <v>1539</v>
      </c>
      <c r="D538" s="452" t="s">
        <v>1540</v>
      </c>
      <c r="E538" s="414" t="s">
        <v>1082</v>
      </c>
      <c r="F538" s="457">
        <v>9</v>
      </c>
      <c r="G538" s="382">
        <v>56.33</v>
      </c>
      <c r="H538" s="382">
        <f t="shared" si="33"/>
        <v>70.373069000000001</v>
      </c>
      <c r="I538" s="383">
        <f t="shared" si="34"/>
        <v>633.36</v>
      </c>
    </row>
    <row r="539" spans="1:10" x14ac:dyDescent="0.25">
      <c r="A539" s="579" t="s">
        <v>1541</v>
      </c>
      <c r="B539" s="608" t="s">
        <v>601</v>
      </c>
      <c r="C539" s="594" t="s">
        <v>1264</v>
      </c>
      <c r="D539" s="452" t="s">
        <v>1542</v>
      </c>
      <c r="E539" s="414" t="s">
        <v>1082</v>
      </c>
      <c r="F539" s="457">
        <v>87</v>
      </c>
      <c r="G539" s="382">
        <v>121.83</v>
      </c>
      <c r="H539" s="382">
        <f t="shared" ref="H539:H552" si="35">G539+(G539*$H$14)</f>
        <v>152.20221899999999</v>
      </c>
      <c r="I539" s="383">
        <f t="shared" si="34"/>
        <v>13241.59</v>
      </c>
    </row>
    <row r="540" spans="1:10" x14ac:dyDescent="0.25">
      <c r="A540" s="579" t="s">
        <v>1543</v>
      </c>
      <c r="B540" s="608" t="s">
        <v>601</v>
      </c>
      <c r="C540" s="594" t="s">
        <v>1544</v>
      </c>
      <c r="D540" s="452" t="s">
        <v>1545</v>
      </c>
      <c r="E540" s="414" t="s">
        <v>1082</v>
      </c>
      <c r="F540" s="457">
        <v>22</v>
      </c>
      <c r="G540" s="382">
        <v>22.49</v>
      </c>
      <c r="H540" s="382">
        <f t="shared" si="35"/>
        <v>28.096756999999997</v>
      </c>
      <c r="I540" s="383">
        <f t="shared" si="34"/>
        <v>618.13</v>
      </c>
    </row>
    <row r="541" spans="1:10" x14ac:dyDescent="0.25">
      <c r="A541" s="579" t="s">
        <v>1546</v>
      </c>
      <c r="B541" s="608" t="s">
        <v>601</v>
      </c>
      <c r="C541" s="594" t="s">
        <v>1547</v>
      </c>
      <c r="D541" s="452" t="s">
        <v>1548</v>
      </c>
      <c r="E541" s="414" t="s">
        <v>1082</v>
      </c>
      <c r="F541" s="457">
        <v>244</v>
      </c>
      <c r="G541" s="382">
        <v>23.99</v>
      </c>
      <c r="H541" s="382">
        <f t="shared" si="35"/>
        <v>29.970706999999997</v>
      </c>
      <c r="I541" s="383">
        <f t="shared" si="34"/>
        <v>7312.85</v>
      </c>
    </row>
    <row r="542" spans="1:10" x14ac:dyDescent="0.25">
      <c r="A542" s="579" t="s">
        <v>1549</v>
      </c>
      <c r="B542" s="608" t="s">
        <v>601</v>
      </c>
      <c r="C542" s="594" t="s">
        <v>1550</v>
      </c>
      <c r="D542" s="452" t="s">
        <v>1551</v>
      </c>
      <c r="E542" s="414" t="s">
        <v>1082</v>
      </c>
      <c r="F542" s="457">
        <v>15</v>
      </c>
      <c r="G542" s="382">
        <v>24.3</v>
      </c>
      <c r="H542" s="382">
        <f t="shared" si="35"/>
        <v>30.357990000000001</v>
      </c>
      <c r="I542" s="383">
        <f t="shared" si="34"/>
        <v>455.37</v>
      </c>
    </row>
    <row r="543" spans="1:10" x14ac:dyDescent="0.25">
      <c r="A543" s="579" t="s">
        <v>1552</v>
      </c>
      <c r="B543" s="608" t="s">
        <v>601</v>
      </c>
      <c r="C543" s="594" t="s">
        <v>1553</v>
      </c>
      <c r="D543" s="452" t="s">
        <v>1554</v>
      </c>
      <c r="E543" s="414" t="s">
        <v>1082</v>
      </c>
      <c r="F543" s="457">
        <v>97</v>
      </c>
      <c r="G543" s="382">
        <v>25.33</v>
      </c>
      <c r="H543" s="382">
        <f t="shared" si="35"/>
        <v>31.644768999999997</v>
      </c>
      <c r="I543" s="383">
        <f t="shared" si="34"/>
        <v>3069.54</v>
      </c>
    </row>
    <row r="544" spans="1:10" x14ac:dyDescent="0.25">
      <c r="A544" s="579" t="s">
        <v>1555</v>
      </c>
      <c r="B544" s="608" t="s">
        <v>601</v>
      </c>
      <c r="C544" s="594" t="s">
        <v>1556</v>
      </c>
      <c r="D544" s="452" t="s">
        <v>1557</v>
      </c>
      <c r="E544" s="414" t="s">
        <v>1082</v>
      </c>
      <c r="F544" s="457">
        <v>60</v>
      </c>
      <c r="G544" s="382">
        <v>14.7</v>
      </c>
      <c r="H544" s="382">
        <f t="shared" si="35"/>
        <v>18.364709999999999</v>
      </c>
      <c r="I544" s="383">
        <f t="shared" si="34"/>
        <v>1101.8800000000001</v>
      </c>
    </row>
    <row r="545" spans="1:9" x14ac:dyDescent="0.25">
      <c r="A545" s="579" t="s">
        <v>1558</v>
      </c>
      <c r="B545" s="608" t="s">
        <v>601</v>
      </c>
      <c r="C545" s="594" t="s">
        <v>1559</v>
      </c>
      <c r="D545" s="452" t="s">
        <v>1560</v>
      </c>
      <c r="E545" s="414" t="s">
        <v>1082</v>
      </c>
      <c r="F545" s="457">
        <v>8</v>
      </c>
      <c r="G545" s="382">
        <v>20.75</v>
      </c>
      <c r="H545" s="382">
        <f t="shared" si="35"/>
        <v>25.922975000000001</v>
      </c>
      <c r="I545" s="383">
        <f t="shared" si="34"/>
        <v>207.38</v>
      </c>
    </row>
    <row r="546" spans="1:9" x14ac:dyDescent="0.25">
      <c r="A546" s="579" t="s">
        <v>1561</v>
      </c>
      <c r="B546" s="608" t="s">
        <v>601</v>
      </c>
      <c r="C546" s="594" t="s">
        <v>1562</v>
      </c>
      <c r="D546" s="452" t="s">
        <v>1563</v>
      </c>
      <c r="E546" s="414" t="s">
        <v>1082</v>
      </c>
      <c r="F546" s="457">
        <v>94</v>
      </c>
      <c r="G546" s="382">
        <v>22.44</v>
      </c>
      <c r="H546" s="382">
        <f t="shared" si="35"/>
        <v>28.034292000000001</v>
      </c>
      <c r="I546" s="383">
        <f t="shared" si="34"/>
        <v>2635.22</v>
      </c>
    </row>
    <row r="547" spans="1:9" x14ac:dyDescent="0.25">
      <c r="A547" s="579" t="s">
        <v>1564</v>
      </c>
      <c r="B547" s="608" t="s">
        <v>601</v>
      </c>
      <c r="C547" s="594" t="s">
        <v>1565</v>
      </c>
      <c r="D547" s="452" t="s">
        <v>1566</v>
      </c>
      <c r="E547" s="414" t="s">
        <v>1082</v>
      </c>
      <c r="F547" s="457">
        <v>8</v>
      </c>
      <c r="G547" s="382">
        <v>11.51</v>
      </c>
      <c r="H547" s="382">
        <f t="shared" si="35"/>
        <v>14.379443</v>
      </c>
      <c r="I547" s="383">
        <f t="shared" si="34"/>
        <v>115.04</v>
      </c>
    </row>
    <row r="548" spans="1:9" x14ac:dyDescent="0.25">
      <c r="A548" s="579" t="s">
        <v>1567</v>
      </c>
      <c r="B548" s="608" t="s">
        <v>601</v>
      </c>
      <c r="C548" s="594" t="s">
        <v>1568</v>
      </c>
      <c r="D548" s="452" t="s">
        <v>1569</v>
      </c>
      <c r="E548" s="414" t="s">
        <v>473</v>
      </c>
      <c r="F548" s="457">
        <v>27.28</v>
      </c>
      <c r="G548" s="382">
        <v>23.39</v>
      </c>
      <c r="H548" s="382">
        <f t="shared" si="35"/>
        <v>29.221127000000003</v>
      </c>
      <c r="I548" s="383">
        <f t="shared" si="34"/>
        <v>797.15</v>
      </c>
    </row>
    <row r="549" spans="1:9" x14ac:dyDescent="0.25">
      <c r="A549" s="579" t="s">
        <v>1570</v>
      </c>
      <c r="B549" s="608" t="s">
        <v>504</v>
      </c>
      <c r="C549" s="594" t="s">
        <v>1571</v>
      </c>
      <c r="D549" s="452" t="s">
        <v>1572</v>
      </c>
      <c r="E549" s="414" t="s">
        <v>1082</v>
      </c>
      <c r="F549" s="457">
        <v>18</v>
      </c>
      <c r="G549" s="382">
        <v>6.36</v>
      </c>
      <c r="H549" s="382">
        <f t="shared" si="35"/>
        <v>7.9455480000000005</v>
      </c>
      <c r="I549" s="383">
        <f t="shared" si="34"/>
        <v>143.02000000000001</v>
      </c>
    </row>
    <row r="550" spans="1:9" x14ac:dyDescent="0.25">
      <c r="A550" s="579" t="s">
        <v>1573</v>
      </c>
      <c r="B550" s="608" t="s">
        <v>504</v>
      </c>
      <c r="C550" s="594" t="s">
        <v>1574</v>
      </c>
      <c r="D550" s="452" t="s">
        <v>1575</v>
      </c>
      <c r="E550" s="414" t="s">
        <v>1082</v>
      </c>
      <c r="F550" s="457">
        <v>326</v>
      </c>
      <c r="G550" s="382">
        <v>35.75</v>
      </c>
      <c r="H550" s="382">
        <f t="shared" si="35"/>
        <v>44.662475000000001</v>
      </c>
      <c r="I550" s="383">
        <f t="shared" si="34"/>
        <v>14559.97</v>
      </c>
    </row>
    <row r="551" spans="1:9" x14ac:dyDescent="0.25">
      <c r="A551" s="579" t="s">
        <v>1576</v>
      </c>
      <c r="B551" s="608" t="s">
        <v>504</v>
      </c>
      <c r="C551" s="594" t="s">
        <v>1577</v>
      </c>
      <c r="D551" s="452" t="s">
        <v>1578</v>
      </c>
      <c r="E551" s="414" t="s">
        <v>1082</v>
      </c>
      <c r="F551" s="457">
        <v>36</v>
      </c>
      <c r="G551" s="382">
        <v>172.26</v>
      </c>
      <c r="H551" s="382">
        <f t="shared" si="35"/>
        <v>215.20441799999998</v>
      </c>
      <c r="I551" s="383">
        <f t="shared" si="34"/>
        <v>7747.36</v>
      </c>
    </row>
    <row r="552" spans="1:9" ht="28.5" x14ac:dyDescent="0.25">
      <c r="A552" s="579" t="s">
        <v>1579</v>
      </c>
      <c r="B552" s="608" t="s">
        <v>504</v>
      </c>
      <c r="C552" s="594" t="s">
        <v>1580</v>
      </c>
      <c r="D552" s="452" t="s">
        <v>1581</v>
      </c>
      <c r="E552" s="414" t="s">
        <v>1082</v>
      </c>
      <c r="F552" s="457">
        <v>7</v>
      </c>
      <c r="G552" s="382">
        <v>37.78</v>
      </c>
      <c r="H552" s="382">
        <f t="shared" si="35"/>
        <v>47.198554000000001</v>
      </c>
      <c r="I552" s="383">
        <f t="shared" si="34"/>
        <v>330.39</v>
      </c>
    </row>
    <row r="553" spans="1:9" x14ac:dyDescent="0.25">
      <c r="A553" s="579"/>
      <c r="B553" s="608"/>
      <c r="C553" s="594"/>
      <c r="D553" s="452"/>
      <c r="E553" s="414"/>
      <c r="F553" s="457"/>
      <c r="G553" s="382"/>
      <c r="H553" s="382"/>
      <c r="I553" s="383"/>
    </row>
    <row r="554" spans="1:9" x14ac:dyDescent="0.25">
      <c r="A554" s="577" t="s">
        <v>1582</v>
      </c>
      <c r="B554" s="604"/>
      <c r="C554" s="588"/>
      <c r="D554" s="446" t="s">
        <v>1583</v>
      </c>
      <c r="E554" s="447"/>
      <c r="F554" s="448"/>
      <c r="G554" s="448"/>
      <c r="H554" s="448"/>
      <c r="I554" s="449">
        <f>SUM(I555:I591)</f>
        <v>217585.22</v>
      </c>
    </row>
    <row r="555" spans="1:9" x14ac:dyDescent="0.25">
      <c r="A555" s="580"/>
      <c r="B555" s="608"/>
      <c r="C555" s="594"/>
      <c r="D555" s="559" t="s">
        <v>1584</v>
      </c>
      <c r="E555" s="414"/>
      <c r="F555" s="457"/>
      <c r="G555" s="383"/>
      <c r="H555" s="382"/>
      <c r="I555" s="383"/>
    </row>
    <row r="556" spans="1:9" x14ac:dyDescent="0.2">
      <c r="A556" s="579" t="s">
        <v>1585</v>
      </c>
      <c r="B556" s="609" t="s">
        <v>315</v>
      </c>
      <c r="C556" s="596" t="s">
        <v>1586</v>
      </c>
      <c r="D556" s="576" t="s">
        <v>1587</v>
      </c>
      <c r="E556" s="557" t="s">
        <v>397</v>
      </c>
      <c r="F556" s="400">
        <f>(8*0.8*0.8*0.8)+(5*1*1*1)+(3*1.2*1.2*1.4)+(19*0.8*0.8*0.8)+(3*1*1*1)+(1*1.2*1.2*1.4)</f>
        <v>29.887999999999998</v>
      </c>
      <c r="G556" s="400">
        <v>28.56</v>
      </c>
      <c r="H556" s="382">
        <f t="shared" ref="H556:H588" si="36">G556+(G556*$H$14)</f>
        <v>35.680008000000001</v>
      </c>
      <c r="I556" s="383">
        <f>ROUND(H556*F556,2)</f>
        <v>1066.4000000000001</v>
      </c>
    </row>
    <row r="557" spans="1:9" x14ac:dyDescent="0.2">
      <c r="A557" s="579" t="s">
        <v>1588</v>
      </c>
      <c r="B557" s="609" t="s">
        <v>315</v>
      </c>
      <c r="C557" s="596">
        <v>85387</v>
      </c>
      <c r="D557" s="561" t="s">
        <v>1589</v>
      </c>
      <c r="E557" s="557" t="s">
        <v>397</v>
      </c>
      <c r="F557" s="400">
        <f>+F556*1.3</f>
        <v>38.854399999999998</v>
      </c>
      <c r="G557" s="400">
        <v>40.32</v>
      </c>
      <c r="H557" s="382">
        <f t="shared" si="36"/>
        <v>50.371775999999997</v>
      </c>
      <c r="I557" s="383">
        <f>ROUND(H557*F557,2)</f>
        <v>1957.17</v>
      </c>
    </row>
    <row r="558" spans="1:9" x14ac:dyDescent="0.2">
      <c r="A558" s="579" t="s">
        <v>1590</v>
      </c>
      <c r="B558" s="609" t="s">
        <v>315</v>
      </c>
      <c r="C558" s="596">
        <v>72900</v>
      </c>
      <c r="D558" s="576" t="s">
        <v>1591</v>
      </c>
      <c r="E558" s="557" t="s">
        <v>397</v>
      </c>
      <c r="F558" s="400">
        <f>+F557</f>
        <v>38.854399999999998</v>
      </c>
      <c r="G558" s="400">
        <v>4.8600000000000003</v>
      </c>
      <c r="H558" s="382">
        <f t="shared" si="36"/>
        <v>6.0715979999999998</v>
      </c>
      <c r="I558" s="383">
        <f t="shared" ref="I558:I588" si="37">ROUND(H558*F558,2)</f>
        <v>235.91</v>
      </c>
    </row>
    <row r="559" spans="1:9" x14ac:dyDescent="0.2">
      <c r="A559" s="579" t="s">
        <v>1592</v>
      </c>
      <c r="B559" s="609" t="s">
        <v>315</v>
      </c>
      <c r="C559" s="596" t="s">
        <v>1593</v>
      </c>
      <c r="D559" s="576" t="s">
        <v>1594</v>
      </c>
      <c r="E559" s="557" t="s">
        <v>378</v>
      </c>
      <c r="F559" s="400">
        <f>(8*0.8*0.8)+(5*1*1)+(3*1.2*1.2)+(19*0.8*0.8)+(3*1*1)+(1*1.2*1.2)</f>
        <v>31.040000000000003</v>
      </c>
      <c r="G559" s="400">
        <v>3.69</v>
      </c>
      <c r="H559" s="382">
        <f t="shared" si="36"/>
        <v>4.6099170000000003</v>
      </c>
      <c r="I559" s="383">
        <f t="shared" si="37"/>
        <v>143.09</v>
      </c>
    </row>
    <row r="560" spans="1:9" ht="28.5" x14ac:dyDescent="0.2">
      <c r="A560" s="579" t="s">
        <v>1595</v>
      </c>
      <c r="B560" s="609" t="s">
        <v>315</v>
      </c>
      <c r="C560" s="596">
        <v>90734</v>
      </c>
      <c r="D560" s="576" t="s">
        <v>1596</v>
      </c>
      <c r="E560" s="557" t="s">
        <v>473</v>
      </c>
      <c r="F560" s="400">
        <v>1383</v>
      </c>
      <c r="G560" s="400">
        <v>2.21</v>
      </c>
      <c r="H560" s="382">
        <f t="shared" si="36"/>
        <v>2.7609529999999998</v>
      </c>
      <c r="I560" s="383">
        <f t="shared" si="37"/>
        <v>3818.4</v>
      </c>
    </row>
    <row r="561" spans="1:9" ht="42.75" x14ac:dyDescent="0.2">
      <c r="A561" s="579" t="s">
        <v>1597</v>
      </c>
      <c r="B561" s="609" t="s">
        <v>315</v>
      </c>
      <c r="C561" s="596" t="s">
        <v>1598</v>
      </c>
      <c r="D561" s="562" t="s">
        <v>1599</v>
      </c>
      <c r="E561" s="557" t="s">
        <v>1082</v>
      </c>
      <c r="F561" s="400">
        <v>8</v>
      </c>
      <c r="G561" s="400">
        <v>604.42999999999995</v>
      </c>
      <c r="H561" s="382">
        <f t="shared" si="36"/>
        <v>755.11439899999993</v>
      </c>
      <c r="I561" s="383">
        <f t="shared" si="37"/>
        <v>6040.92</v>
      </c>
    </row>
    <row r="562" spans="1:9" x14ac:dyDescent="0.2">
      <c r="A562" s="579" t="s">
        <v>1600</v>
      </c>
      <c r="B562" s="609" t="s">
        <v>315</v>
      </c>
      <c r="C562" s="596">
        <v>72289</v>
      </c>
      <c r="D562" s="576" t="s">
        <v>1601</v>
      </c>
      <c r="E562" s="557" t="s">
        <v>1082</v>
      </c>
      <c r="F562" s="400">
        <v>5</v>
      </c>
      <c r="G562" s="400">
        <v>290.74</v>
      </c>
      <c r="H562" s="382">
        <f t="shared" si="36"/>
        <v>363.22148200000004</v>
      </c>
      <c r="I562" s="383">
        <f t="shared" si="37"/>
        <v>1816.11</v>
      </c>
    </row>
    <row r="563" spans="1:9" ht="28.5" x14ac:dyDescent="0.2">
      <c r="A563" s="579" t="s">
        <v>1602</v>
      </c>
      <c r="B563" s="609" t="s">
        <v>315</v>
      </c>
      <c r="C563" s="596">
        <v>83627</v>
      </c>
      <c r="D563" s="576" t="s">
        <v>1603</v>
      </c>
      <c r="E563" s="557" t="s">
        <v>1082</v>
      </c>
      <c r="F563" s="400">
        <v>5</v>
      </c>
      <c r="G563" s="400">
        <v>395.33</v>
      </c>
      <c r="H563" s="382">
        <f t="shared" si="36"/>
        <v>493.88576899999998</v>
      </c>
      <c r="I563" s="383">
        <f t="shared" si="37"/>
        <v>2469.4299999999998</v>
      </c>
    </row>
    <row r="564" spans="1:9" ht="28.5" x14ac:dyDescent="0.2">
      <c r="A564" s="579" t="s">
        <v>1604</v>
      </c>
      <c r="B564" s="609" t="s">
        <v>315</v>
      </c>
      <c r="C564" s="596" t="s">
        <v>1605</v>
      </c>
      <c r="D564" s="562" t="s">
        <v>1606</v>
      </c>
      <c r="E564" s="557" t="s">
        <v>1082</v>
      </c>
      <c r="F564" s="400">
        <v>3</v>
      </c>
      <c r="G564" s="400">
        <v>1767.38</v>
      </c>
      <c r="H564" s="382">
        <f t="shared" si="36"/>
        <v>2207.987834</v>
      </c>
      <c r="I564" s="383">
        <f t="shared" si="37"/>
        <v>6623.96</v>
      </c>
    </row>
    <row r="565" spans="1:9" ht="28.5" x14ac:dyDescent="0.2">
      <c r="A565" s="579" t="s">
        <v>1607</v>
      </c>
      <c r="B565" s="609" t="s">
        <v>315</v>
      </c>
      <c r="C565" s="596">
        <v>83627</v>
      </c>
      <c r="D565" s="576" t="s">
        <v>1603</v>
      </c>
      <c r="E565" s="557" t="s">
        <v>1082</v>
      </c>
      <c r="F565" s="400">
        <v>3</v>
      </c>
      <c r="G565" s="400">
        <v>395.33</v>
      </c>
      <c r="H565" s="382">
        <f t="shared" si="36"/>
        <v>493.88576899999998</v>
      </c>
      <c r="I565" s="383">
        <f t="shared" si="37"/>
        <v>1481.66</v>
      </c>
    </row>
    <row r="566" spans="1:9" x14ac:dyDescent="0.2">
      <c r="A566" s="579" t="s">
        <v>1608</v>
      </c>
      <c r="B566" s="609" t="s">
        <v>315</v>
      </c>
      <c r="C566" s="596">
        <v>72286</v>
      </c>
      <c r="D566" s="576" t="s">
        <v>1609</v>
      </c>
      <c r="E566" s="557" t="s">
        <v>1082</v>
      </c>
      <c r="F566" s="400">
        <v>19</v>
      </c>
      <c r="G566" s="400">
        <v>129.80000000000001</v>
      </c>
      <c r="H566" s="382">
        <f t="shared" si="36"/>
        <v>162.15914000000001</v>
      </c>
      <c r="I566" s="383">
        <f t="shared" si="37"/>
        <v>3081.02</v>
      </c>
    </row>
    <row r="567" spans="1:9" ht="28.5" x14ac:dyDescent="0.2">
      <c r="A567" s="579" t="s">
        <v>1610</v>
      </c>
      <c r="B567" s="609" t="s">
        <v>315</v>
      </c>
      <c r="C567" s="596">
        <v>83716</v>
      </c>
      <c r="D567" s="576" t="s">
        <v>1611</v>
      </c>
      <c r="E567" s="557" t="s">
        <v>1082</v>
      </c>
      <c r="F567" s="400">
        <v>19</v>
      </c>
      <c r="G567" s="400">
        <v>280.62</v>
      </c>
      <c r="H567" s="382">
        <f t="shared" si="36"/>
        <v>350.57856600000002</v>
      </c>
      <c r="I567" s="383">
        <f t="shared" si="37"/>
        <v>6660.99</v>
      </c>
    </row>
    <row r="568" spans="1:9" x14ac:dyDescent="0.2">
      <c r="A568" s="579" t="s">
        <v>1612</v>
      </c>
      <c r="B568" s="609" t="s">
        <v>315</v>
      </c>
      <c r="C568" s="596">
        <v>72289</v>
      </c>
      <c r="D568" s="576" t="s">
        <v>1601</v>
      </c>
      <c r="E568" s="557" t="s">
        <v>1082</v>
      </c>
      <c r="F568" s="400">
        <v>3</v>
      </c>
      <c r="G568" s="400">
        <v>290.74</v>
      </c>
      <c r="H568" s="382">
        <f t="shared" si="36"/>
        <v>363.22148200000004</v>
      </c>
      <c r="I568" s="383">
        <f t="shared" si="37"/>
        <v>1089.6600000000001</v>
      </c>
    </row>
    <row r="569" spans="1:9" ht="28.5" x14ac:dyDescent="0.2">
      <c r="A569" s="579" t="s">
        <v>1613</v>
      </c>
      <c r="B569" s="609" t="s">
        <v>315</v>
      </c>
      <c r="C569" s="596">
        <v>83716</v>
      </c>
      <c r="D569" s="576" t="s">
        <v>1611</v>
      </c>
      <c r="E569" s="557" t="s">
        <v>1082</v>
      </c>
      <c r="F569" s="400">
        <v>3</v>
      </c>
      <c r="G569" s="400">
        <v>280.62</v>
      </c>
      <c r="H569" s="382">
        <f t="shared" si="36"/>
        <v>350.57856600000002</v>
      </c>
      <c r="I569" s="383">
        <f t="shared" si="37"/>
        <v>1051.74</v>
      </c>
    </row>
    <row r="570" spans="1:9" ht="42.75" x14ac:dyDescent="0.2">
      <c r="A570" s="579" t="s">
        <v>1614</v>
      </c>
      <c r="B570" s="609" t="s">
        <v>315</v>
      </c>
      <c r="C570" s="596">
        <v>73714</v>
      </c>
      <c r="D570" s="576" t="s">
        <v>1615</v>
      </c>
      <c r="E570" s="557" t="s">
        <v>1616</v>
      </c>
      <c r="F570" s="400">
        <v>1</v>
      </c>
      <c r="G570" s="400">
        <v>1178</v>
      </c>
      <c r="H570" s="382">
        <f t="shared" si="36"/>
        <v>1471.6754000000001</v>
      </c>
      <c r="I570" s="383">
        <f t="shared" si="37"/>
        <v>1471.68</v>
      </c>
    </row>
    <row r="571" spans="1:9" x14ac:dyDescent="0.25">
      <c r="A571" s="579"/>
      <c r="B571" s="609"/>
      <c r="C571" s="597"/>
      <c r="D571" s="563" t="s">
        <v>1617</v>
      </c>
      <c r="E571" s="558"/>
      <c r="F571" s="457"/>
      <c r="G571" s="383"/>
      <c r="H571" s="382"/>
      <c r="I571" s="383"/>
    </row>
    <row r="572" spans="1:9" x14ac:dyDescent="0.2">
      <c r="A572" s="583" t="s">
        <v>1618</v>
      </c>
      <c r="B572" s="609" t="s">
        <v>315</v>
      </c>
      <c r="C572" s="596" t="s">
        <v>1586</v>
      </c>
      <c r="D572" s="576" t="s">
        <v>1587</v>
      </c>
      <c r="E572" s="557" t="s">
        <v>397</v>
      </c>
      <c r="F572" s="400">
        <f>(+F576+F578)*0.3*0.3</f>
        <v>297.27</v>
      </c>
      <c r="G572" s="400">
        <v>28.56</v>
      </c>
      <c r="H572" s="382">
        <f t="shared" si="36"/>
        <v>35.680008000000001</v>
      </c>
      <c r="I572" s="383">
        <f t="shared" si="37"/>
        <v>10606.6</v>
      </c>
    </row>
    <row r="573" spans="1:9" x14ac:dyDescent="0.2">
      <c r="A573" s="579" t="s">
        <v>1619</v>
      </c>
      <c r="B573" s="609" t="s">
        <v>315</v>
      </c>
      <c r="C573" s="596">
        <v>85387</v>
      </c>
      <c r="D573" s="561" t="s">
        <v>1589</v>
      </c>
      <c r="E573" s="557" t="s">
        <v>397</v>
      </c>
      <c r="F573" s="400">
        <f>+F572*1.3</f>
        <v>386.45099999999996</v>
      </c>
      <c r="G573" s="400">
        <v>40.32</v>
      </c>
      <c r="H573" s="382">
        <f t="shared" si="36"/>
        <v>50.371775999999997</v>
      </c>
      <c r="I573" s="383">
        <f t="shared" si="37"/>
        <v>19466.22</v>
      </c>
    </row>
    <row r="574" spans="1:9" x14ac:dyDescent="0.2">
      <c r="A574" s="583" t="s">
        <v>1620</v>
      </c>
      <c r="B574" s="609" t="s">
        <v>315</v>
      </c>
      <c r="C574" s="596">
        <v>72900</v>
      </c>
      <c r="D574" s="576" t="s">
        <v>1591</v>
      </c>
      <c r="E574" s="557" t="s">
        <v>397</v>
      </c>
      <c r="F574" s="400">
        <f>+F573</f>
        <v>386.45099999999996</v>
      </c>
      <c r="G574" s="400">
        <v>4.8600000000000003</v>
      </c>
      <c r="H574" s="382">
        <f t="shared" si="36"/>
        <v>6.0715979999999998</v>
      </c>
      <c r="I574" s="383">
        <f t="shared" si="37"/>
        <v>2346.38</v>
      </c>
    </row>
    <row r="575" spans="1:9" x14ac:dyDescent="0.2">
      <c r="A575" s="579" t="s">
        <v>1621</v>
      </c>
      <c r="B575" s="609" t="s">
        <v>315</v>
      </c>
      <c r="C575" s="596" t="s">
        <v>1593</v>
      </c>
      <c r="D575" s="576" t="s">
        <v>1594</v>
      </c>
      <c r="E575" s="557" t="s">
        <v>378</v>
      </c>
      <c r="F575" s="400">
        <f>(+F576+F578)*0.3</f>
        <v>990.9</v>
      </c>
      <c r="G575" s="400">
        <v>3.69</v>
      </c>
      <c r="H575" s="382">
        <f t="shared" si="36"/>
        <v>4.6099170000000003</v>
      </c>
      <c r="I575" s="383">
        <f t="shared" si="37"/>
        <v>4567.97</v>
      </c>
    </row>
    <row r="576" spans="1:9" ht="28.5" x14ac:dyDescent="0.2">
      <c r="A576" s="583" t="s">
        <v>1622</v>
      </c>
      <c r="B576" s="609" t="s">
        <v>315</v>
      </c>
      <c r="C576" s="596">
        <v>90734</v>
      </c>
      <c r="D576" s="576" t="s">
        <v>1596</v>
      </c>
      <c r="E576" s="557" t="s">
        <v>473</v>
      </c>
      <c r="F576" s="400">
        <v>1383</v>
      </c>
      <c r="G576" s="400">
        <v>2.21</v>
      </c>
      <c r="H576" s="382">
        <f t="shared" si="36"/>
        <v>2.7609529999999998</v>
      </c>
      <c r="I576" s="383">
        <f t="shared" si="37"/>
        <v>3818.4</v>
      </c>
    </row>
    <row r="577" spans="1:9" ht="28.5" x14ac:dyDescent="0.2">
      <c r="A577" s="579" t="s">
        <v>1623</v>
      </c>
      <c r="B577" s="609" t="s">
        <v>315</v>
      </c>
      <c r="C577" s="596">
        <v>89580</v>
      </c>
      <c r="D577" s="576" t="s">
        <v>1624</v>
      </c>
      <c r="E577" s="557" t="s">
        <v>473</v>
      </c>
      <c r="F577" s="400">
        <v>1383</v>
      </c>
      <c r="G577" s="400">
        <v>38.72</v>
      </c>
      <c r="H577" s="382">
        <f t="shared" si="36"/>
        <v>48.372895999999997</v>
      </c>
      <c r="I577" s="383">
        <f t="shared" si="37"/>
        <v>66899.72</v>
      </c>
    </row>
    <row r="578" spans="1:9" ht="28.5" x14ac:dyDescent="0.2">
      <c r="A578" s="583" t="s">
        <v>1625</v>
      </c>
      <c r="B578" s="619" t="s">
        <v>315</v>
      </c>
      <c r="C578" s="596">
        <v>90733</v>
      </c>
      <c r="D578" s="701" t="s">
        <v>1626</v>
      </c>
      <c r="E578" s="557" t="s">
        <v>473</v>
      </c>
      <c r="F578" s="400">
        <v>1920</v>
      </c>
      <c r="G578" s="400">
        <v>1.81</v>
      </c>
      <c r="H578" s="382">
        <f t="shared" si="36"/>
        <v>2.2612329999999998</v>
      </c>
      <c r="I578" s="383">
        <f t="shared" si="37"/>
        <v>4341.57</v>
      </c>
    </row>
    <row r="579" spans="1:9" ht="28.5" x14ac:dyDescent="0.2">
      <c r="A579" s="579" t="s">
        <v>1627</v>
      </c>
      <c r="B579" s="609" t="s">
        <v>315</v>
      </c>
      <c r="C579" s="596">
        <v>89578</v>
      </c>
      <c r="D579" s="576" t="s">
        <v>1628</v>
      </c>
      <c r="E579" s="557" t="s">
        <v>473</v>
      </c>
      <c r="F579" s="400">
        <v>1920</v>
      </c>
      <c r="G579" s="400">
        <v>19.55</v>
      </c>
      <c r="H579" s="382">
        <f t="shared" si="36"/>
        <v>24.423815000000001</v>
      </c>
      <c r="I579" s="383">
        <f t="shared" si="37"/>
        <v>46893.72</v>
      </c>
    </row>
    <row r="580" spans="1:9" x14ac:dyDescent="0.25">
      <c r="A580" s="580"/>
      <c r="B580" s="609"/>
      <c r="C580" s="597"/>
      <c r="D580" s="563" t="s">
        <v>1629</v>
      </c>
      <c r="E580" s="558"/>
      <c r="F580" s="457"/>
      <c r="G580" s="383"/>
      <c r="H580" s="382"/>
      <c r="I580" s="383"/>
    </row>
    <row r="581" spans="1:9" ht="28.5" x14ac:dyDescent="0.25">
      <c r="A581" s="579" t="s">
        <v>1630</v>
      </c>
      <c r="B581" s="609" t="s">
        <v>315</v>
      </c>
      <c r="C581" s="596">
        <v>89590</v>
      </c>
      <c r="D581" s="700" t="s">
        <v>1631</v>
      </c>
      <c r="E581" s="557" t="s">
        <v>1082</v>
      </c>
      <c r="F581" s="400">
        <v>8</v>
      </c>
      <c r="G581" s="400">
        <v>94.81</v>
      </c>
      <c r="H581" s="382">
        <f t="shared" si="36"/>
        <v>118.446133</v>
      </c>
      <c r="I581" s="383">
        <f t="shared" si="37"/>
        <v>947.57</v>
      </c>
    </row>
    <row r="582" spans="1:9" ht="28.5" x14ac:dyDescent="0.25">
      <c r="A582" s="579" t="s">
        <v>1632</v>
      </c>
      <c r="B582" s="609" t="s">
        <v>315</v>
      </c>
      <c r="C582" s="596">
        <v>89584</v>
      </c>
      <c r="D582" s="700" t="s">
        <v>1633</v>
      </c>
      <c r="E582" s="557" t="s">
        <v>1082</v>
      </c>
      <c r="F582" s="400">
        <v>177</v>
      </c>
      <c r="G582" s="400">
        <v>30.15</v>
      </c>
      <c r="H582" s="382">
        <f t="shared" si="36"/>
        <v>37.666394999999994</v>
      </c>
      <c r="I582" s="383">
        <f t="shared" si="37"/>
        <v>6666.95</v>
      </c>
    </row>
    <row r="583" spans="1:9" ht="28.5" x14ac:dyDescent="0.25">
      <c r="A583" s="579" t="s">
        <v>1634</v>
      </c>
      <c r="B583" s="609" t="s">
        <v>315</v>
      </c>
      <c r="C583" s="596">
        <v>89591</v>
      </c>
      <c r="D583" s="700" t="s">
        <v>1635</v>
      </c>
      <c r="E583" s="557" t="s">
        <v>1082</v>
      </c>
      <c r="F583" s="400">
        <f>2+9</f>
        <v>11</v>
      </c>
      <c r="G583" s="400">
        <v>76.47</v>
      </c>
      <c r="H583" s="382">
        <f t="shared" si="36"/>
        <v>95.533970999999994</v>
      </c>
      <c r="I583" s="383">
        <f t="shared" si="37"/>
        <v>1050.8699999999999</v>
      </c>
    </row>
    <row r="584" spans="1:9" ht="28.5" x14ac:dyDescent="0.25">
      <c r="A584" s="579" t="s">
        <v>1636</v>
      </c>
      <c r="B584" s="609" t="s">
        <v>315</v>
      </c>
      <c r="C584" s="596">
        <v>89585</v>
      </c>
      <c r="D584" s="700" t="s">
        <v>1637</v>
      </c>
      <c r="E584" s="557" t="s">
        <v>1082</v>
      </c>
      <c r="F584" s="400">
        <f>4+45</f>
        <v>49</v>
      </c>
      <c r="G584" s="400">
        <v>25.23</v>
      </c>
      <c r="H584" s="382">
        <f t="shared" si="36"/>
        <v>31.519839000000001</v>
      </c>
      <c r="I584" s="383">
        <f t="shared" si="37"/>
        <v>1544.47</v>
      </c>
    </row>
    <row r="585" spans="1:9" x14ac:dyDescent="0.25">
      <c r="A585" s="579" t="s">
        <v>1638</v>
      </c>
      <c r="B585" s="609" t="s">
        <v>315</v>
      </c>
      <c r="C585" s="596">
        <v>38448</v>
      </c>
      <c r="D585" s="700" t="s">
        <v>1639</v>
      </c>
      <c r="E585" s="557" t="s">
        <v>1082</v>
      </c>
      <c r="F585" s="400">
        <v>10</v>
      </c>
      <c r="G585" s="400">
        <v>199.27</v>
      </c>
      <c r="H585" s="382">
        <f t="shared" si="36"/>
        <v>248.94801100000001</v>
      </c>
      <c r="I585" s="383">
        <f t="shared" si="37"/>
        <v>2489.48</v>
      </c>
    </row>
    <row r="586" spans="1:9" ht="28.5" x14ac:dyDescent="0.25">
      <c r="A586" s="579" t="s">
        <v>1640</v>
      </c>
      <c r="B586" s="609" t="s">
        <v>315</v>
      </c>
      <c r="C586" s="596">
        <v>89675</v>
      </c>
      <c r="D586" s="700" t="s">
        <v>1641</v>
      </c>
      <c r="E586" s="557" t="s">
        <v>1082</v>
      </c>
      <c r="F586" s="400">
        <v>19</v>
      </c>
      <c r="G586" s="400">
        <v>41.76</v>
      </c>
      <c r="H586" s="382">
        <f t="shared" si="36"/>
        <v>52.170767999999995</v>
      </c>
      <c r="I586" s="383">
        <f t="shared" si="37"/>
        <v>991.24</v>
      </c>
    </row>
    <row r="587" spans="1:9" ht="28.5" x14ac:dyDescent="0.25">
      <c r="A587" s="579" t="s">
        <v>1642</v>
      </c>
      <c r="B587" s="609" t="s">
        <v>315</v>
      </c>
      <c r="C587" s="596">
        <v>89699</v>
      </c>
      <c r="D587" s="700" t="s">
        <v>1643</v>
      </c>
      <c r="E587" s="557" t="s">
        <v>1082</v>
      </c>
      <c r="F587" s="400">
        <v>5</v>
      </c>
      <c r="G587" s="400">
        <v>123.14</v>
      </c>
      <c r="H587" s="382">
        <f t="shared" si="36"/>
        <v>153.83880199999999</v>
      </c>
      <c r="I587" s="383">
        <f t="shared" si="37"/>
        <v>769.19</v>
      </c>
    </row>
    <row r="588" spans="1:9" ht="28.5" x14ac:dyDescent="0.25">
      <c r="A588" s="579" t="s">
        <v>1644</v>
      </c>
      <c r="B588" s="609" t="s">
        <v>315</v>
      </c>
      <c r="C588" s="596">
        <v>89690</v>
      </c>
      <c r="D588" s="700" t="s">
        <v>1645</v>
      </c>
      <c r="E588" s="557" t="s">
        <v>1082</v>
      </c>
      <c r="F588" s="400">
        <v>4</v>
      </c>
      <c r="G588" s="400">
        <v>54.29</v>
      </c>
      <c r="H588" s="382">
        <f t="shared" si="36"/>
        <v>67.824496999999994</v>
      </c>
      <c r="I588" s="383">
        <f t="shared" si="37"/>
        <v>271.3</v>
      </c>
    </row>
    <row r="589" spans="1:9" ht="28.5" x14ac:dyDescent="0.25">
      <c r="A589" s="579" t="s">
        <v>1646</v>
      </c>
      <c r="B589" s="609" t="s">
        <v>315</v>
      </c>
      <c r="C589" s="596">
        <v>89681</v>
      </c>
      <c r="D589" s="700" t="s">
        <v>1647</v>
      </c>
      <c r="E589" s="557" t="s">
        <v>1082</v>
      </c>
      <c r="F589" s="400">
        <v>3</v>
      </c>
      <c r="G589" s="400">
        <v>50.62</v>
      </c>
      <c r="H589" s="382">
        <f>G589+(G589*$H$14)</f>
        <v>63.239565999999996</v>
      </c>
      <c r="I589" s="383">
        <f>ROUND(H589*F589,2)</f>
        <v>189.72</v>
      </c>
    </row>
    <row r="590" spans="1:9" x14ac:dyDescent="0.25">
      <c r="A590" s="579" t="s">
        <v>1648</v>
      </c>
      <c r="B590" s="609" t="s">
        <v>315</v>
      </c>
      <c r="C590" s="596">
        <v>11709</v>
      </c>
      <c r="D590" s="700" t="s">
        <v>3478</v>
      </c>
      <c r="E590" s="557" t="s">
        <v>1082</v>
      </c>
      <c r="F590" s="400">
        <v>122</v>
      </c>
      <c r="G590" s="400">
        <v>30.94</v>
      </c>
      <c r="H590" s="382">
        <f>G590+(G590*$H$14)</f>
        <v>38.653342000000002</v>
      </c>
      <c r="I590" s="383">
        <f>ROUND(H590*F590,2)</f>
        <v>4715.71</v>
      </c>
    </row>
    <row r="591" spans="1:9" x14ac:dyDescent="0.25">
      <c r="A591" s="580"/>
      <c r="B591" s="608"/>
      <c r="C591" s="594"/>
      <c r="D591" s="560"/>
      <c r="E591" s="414"/>
      <c r="F591" s="457"/>
      <c r="G591" s="383"/>
      <c r="H591" s="382"/>
      <c r="I591" s="383"/>
    </row>
    <row r="592" spans="1:9" x14ac:dyDescent="0.25">
      <c r="A592" s="577" t="s">
        <v>1649</v>
      </c>
      <c r="B592" s="604"/>
      <c r="C592" s="588"/>
      <c r="D592" s="446" t="s">
        <v>1650</v>
      </c>
      <c r="E592" s="447"/>
      <c r="F592" s="448"/>
      <c r="G592" s="448"/>
      <c r="H592" s="448"/>
      <c r="I592" s="449">
        <f>SUM(I593:I608)</f>
        <v>112364.51999999999</v>
      </c>
    </row>
    <row r="593" spans="1:9" ht="28.5" x14ac:dyDescent="0.25">
      <c r="A593" s="579" t="s">
        <v>1651</v>
      </c>
      <c r="B593" s="608" t="s">
        <v>504</v>
      </c>
      <c r="C593" s="557" t="s">
        <v>1652</v>
      </c>
      <c r="D593" s="419" t="s">
        <v>1653</v>
      </c>
      <c r="E593" s="398" t="s">
        <v>1082</v>
      </c>
      <c r="F593" s="400">
        <v>1</v>
      </c>
      <c r="G593" s="400">
        <v>942.4</v>
      </c>
      <c r="H593" s="382">
        <f t="shared" ref="H593:H608" si="38">G593+(G593*$H$14)</f>
        <v>1177.34032</v>
      </c>
      <c r="I593" s="383">
        <f t="shared" ref="I593:I608" si="39">ROUND(H593*F593,2)</f>
        <v>1177.3399999999999</v>
      </c>
    </row>
    <row r="594" spans="1:9" ht="28.5" x14ac:dyDescent="0.25">
      <c r="A594" s="579" t="s">
        <v>1654</v>
      </c>
      <c r="B594" s="624" t="s">
        <v>504</v>
      </c>
      <c r="C594" s="557" t="s">
        <v>1655</v>
      </c>
      <c r="D594" s="419" t="s">
        <v>1656</v>
      </c>
      <c r="E594" s="398" t="s">
        <v>1082</v>
      </c>
      <c r="F594" s="400">
        <v>84</v>
      </c>
      <c r="G594" s="400">
        <v>20.79</v>
      </c>
      <c r="H594" s="382">
        <f t="shared" si="38"/>
        <v>25.972946999999998</v>
      </c>
      <c r="I594" s="383">
        <f t="shared" si="39"/>
        <v>2181.73</v>
      </c>
    </row>
    <row r="595" spans="1:9" x14ac:dyDescent="0.25">
      <c r="A595" s="579" t="s">
        <v>1657</v>
      </c>
      <c r="B595" s="609" t="s">
        <v>315</v>
      </c>
      <c r="C595" s="557" t="s">
        <v>1658</v>
      </c>
      <c r="D595" s="419" t="s">
        <v>1659</v>
      </c>
      <c r="E595" s="398" t="s">
        <v>473</v>
      </c>
      <c r="F595" s="400">
        <v>1870</v>
      </c>
      <c r="G595" s="400">
        <v>20.3</v>
      </c>
      <c r="H595" s="382">
        <f t="shared" si="38"/>
        <v>25.360790000000001</v>
      </c>
      <c r="I595" s="383">
        <f t="shared" si="39"/>
        <v>47424.68</v>
      </c>
    </row>
    <row r="596" spans="1:9" x14ac:dyDescent="0.25">
      <c r="A596" s="579" t="s">
        <v>1660</v>
      </c>
      <c r="B596" s="608" t="s">
        <v>504</v>
      </c>
      <c r="C596" s="557" t="s">
        <v>1661</v>
      </c>
      <c r="D596" s="419" t="s">
        <v>1662</v>
      </c>
      <c r="E596" s="398" t="s">
        <v>1082</v>
      </c>
      <c r="F596" s="400">
        <v>56</v>
      </c>
      <c r="G596" s="400">
        <v>31.47</v>
      </c>
      <c r="H596" s="382">
        <f t="shared" si="38"/>
        <v>39.315471000000002</v>
      </c>
      <c r="I596" s="383">
        <f t="shared" si="39"/>
        <v>2201.67</v>
      </c>
    </row>
    <row r="597" spans="1:9" ht="28.5" x14ac:dyDescent="0.25">
      <c r="A597" s="579" t="s">
        <v>1663</v>
      </c>
      <c r="B597" s="608" t="s">
        <v>504</v>
      </c>
      <c r="C597" s="557" t="s">
        <v>1664</v>
      </c>
      <c r="D597" s="419" t="s">
        <v>1665</v>
      </c>
      <c r="E597" s="398" t="s">
        <v>1082</v>
      </c>
      <c r="F597" s="400">
        <v>242</v>
      </c>
      <c r="G597" s="400">
        <v>15.16</v>
      </c>
      <c r="H597" s="382">
        <f t="shared" si="38"/>
        <v>18.939388000000001</v>
      </c>
      <c r="I597" s="383">
        <f t="shared" si="39"/>
        <v>4583.33</v>
      </c>
    </row>
    <row r="598" spans="1:9" x14ac:dyDescent="0.25">
      <c r="A598" s="579" t="s">
        <v>1666</v>
      </c>
      <c r="B598" s="609" t="s">
        <v>315</v>
      </c>
      <c r="C598" s="557" t="s">
        <v>405</v>
      </c>
      <c r="D598" s="419" t="s">
        <v>406</v>
      </c>
      <c r="E598" s="398" t="s">
        <v>397</v>
      </c>
      <c r="F598" s="400">
        <v>99.75</v>
      </c>
      <c r="G598" s="400">
        <v>46.81</v>
      </c>
      <c r="H598" s="382">
        <f t="shared" si="38"/>
        <v>58.479733000000003</v>
      </c>
      <c r="I598" s="383">
        <f t="shared" si="39"/>
        <v>5833.35</v>
      </c>
    </row>
    <row r="599" spans="1:9" x14ac:dyDescent="0.25">
      <c r="A599" s="579" t="s">
        <v>1667</v>
      </c>
      <c r="B599" s="609" t="s">
        <v>315</v>
      </c>
      <c r="C599" s="557" t="s">
        <v>1668</v>
      </c>
      <c r="D599" s="419" t="s">
        <v>1669</v>
      </c>
      <c r="E599" s="398" t="s">
        <v>397</v>
      </c>
      <c r="F599" s="400">
        <v>99.75</v>
      </c>
      <c r="G599" s="400">
        <v>35.5</v>
      </c>
      <c r="H599" s="382">
        <f t="shared" si="38"/>
        <v>44.350149999999999</v>
      </c>
      <c r="I599" s="383">
        <f t="shared" si="39"/>
        <v>4423.93</v>
      </c>
    </row>
    <row r="600" spans="1:9" x14ac:dyDescent="0.25">
      <c r="A600" s="579" t="s">
        <v>1670</v>
      </c>
      <c r="B600" s="609" t="s">
        <v>315</v>
      </c>
      <c r="C600" s="557" t="s">
        <v>1671</v>
      </c>
      <c r="D600" s="419" t="s">
        <v>1672</v>
      </c>
      <c r="E600" s="398" t="s">
        <v>1082</v>
      </c>
      <c r="F600" s="400">
        <v>45</v>
      </c>
      <c r="G600" s="400">
        <v>121.11</v>
      </c>
      <c r="H600" s="382">
        <f t="shared" si="38"/>
        <v>151.30272300000001</v>
      </c>
      <c r="I600" s="383">
        <f t="shared" si="39"/>
        <v>6808.62</v>
      </c>
    </row>
    <row r="601" spans="1:9" x14ac:dyDescent="0.25">
      <c r="A601" s="579" t="s">
        <v>1673</v>
      </c>
      <c r="B601" s="609" t="s">
        <v>315</v>
      </c>
      <c r="C601" s="557" t="s">
        <v>1674</v>
      </c>
      <c r="D601" s="419" t="s">
        <v>1675</v>
      </c>
      <c r="E601" s="398" t="s">
        <v>1082</v>
      </c>
      <c r="F601" s="400">
        <v>45</v>
      </c>
      <c r="G601" s="400">
        <v>40.36</v>
      </c>
      <c r="H601" s="382">
        <f t="shared" si="38"/>
        <v>50.421748000000001</v>
      </c>
      <c r="I601" s="383">
        <f t="shared" si="39"/>
        <v>2268.98</v>
      </c>
    </row>
    <row r="602" spans="1:9" x14ac:dyDescent="0.25">
      <c r="A602" s="579" t="s">
        <v>1676</v>
      </c>
      <c r="B602" s="609" t="s">
        <v>315</v>
      </c>
      <c r="C602" s="557" t="s">
        <v>1677</v>
      </c>
      <c r="D602" s="419" t="s">
        <v>1678</v>
      </c>
      <c r="E602" s="398" t="s">
        <v>473</v>
      </c>
      <c r="F602" s="400">
        <v>665</v>
      </c>
      <c r="G602" s="400">
        <v>28.77</v>
      </c>
      <c r="H602" s="382">
        <f t="shared" si="38"/>
        <v>35.942360999999998</v>
      </c>
      <c r="I602" s="383">
        <f t="shared" si="39"/>
        <v>23901.67</v>
      </c>
    </row>
    <row r="603" spans="1:9" x14ac:dyDescent="0.25">
      <c r="A603" s="579" t="s">
        <v>1679</v>
      </c>
      <c r="B603" s="608" t="s">
        <v>601</v>
      </c>
      <c r="C603" s="557" t="s">
        <v>1680</v>
      </c>
      <c r="D603" s="419" t="s">
        <v>1681</v>
      </c>
      <c r="E603" s="398" t="s">
        <v>1082</v>
      </c>
      <c r="F603" s="400">
        <v>246</v>
      </c>
      <c r="G603" s="400">
        <v>36.130000000000003</v>
      </c>
      <c r="H603" s="382">
        <f t="shared" si="38"/>
        <v>45.137208999999999</v>
      </c>
      <c r="I603" s="383">
        <f t="shared" si="39"/>
        <v>11103.75</v>
      </c>
    </row>
    <row r="604" spans="1:9" x14ac:dyDescent="0.25">
      <c r="A604" s="579" t="s">
        <v>1682</v>
      </c>
      <c r="B604" s="609" t="s">
        <v>315</v>
      </c>
      <c r="C604" s="557" t="s">
        <v>1683</v>
      </c>
      <c r="D604" s="419" t="s">
        <v>1684</v>
      </c>
      <c r="E604" s="398" t="s">
        <v>1082</v>
      </c>
      <c r="F604" s="400">
        <v>1</v>
      </c>
      <c r="G604" s="400">
        <v>49.53</v>
      </c>
      <c r="H604" s="382">
        <f t="shared" si="38"/>
        <v>61.877829000000006</v>
      </c>
      <c r="I604" s="383">
        <f t="shared" si="39"/>
        <v>61.88</v>
      </c>
    </row>
    <row r="605" spans="1:9" x14ac:dyDescent="0.25">
      <c r="A605" s="579" t="s">
        <v>1685</v>
      </c>
      <c r="B605" s="609" t="s">
        <v>315</v>
      </c>
      <c r="C605" s="557" t="s">
        <v>1686</v>
      </c>
      <c r="D605" s="419" t="s">
        <v>1687</v>
      </c>
      <c r="E605" s="398" t="s">
        <v>1082</v>
      </c>
      <c r="F605" s="400">
        <v>1</v>
      </c>
      <c r="G605" s="400">
        <v>54.5</v>
      </c>
      <c r="H605" s="382">
        <f t="shared" si="38"/>
        <v>68.086849999999998</v>
      </c>
      <c r="I605" s="383">
        <f t="shared" si="39"/>
        <v>68.09</v>
      </c>
    </row>
    <row r="606" spans="1:9" x14ac:dyDescent="0.25">
      <c r="A606" s="579" t="s">
        <v>1688</v>
      </c>
      <c r="B606" s="609" t="s">
        <v>315</v>
      </c>
      <c r="C606" s="557" t="s">
        <v>1689</v>
      </c>
      <c r="D606" s="419" t="s">
        <v>1690</v>
      </c>
      <c r="E606" s="398" t="s">
        <v>1082</v>
      </c>
      <c r="F606" s="400">
        <v>1</v>
      </c>
      <c r="G606" s="400">
        <v>35.39</v>
      </c>
      <c r="H606" s="382">
        <f t="shared" si="38"/>
        <v>44.212727000000001</v>
      </c>
      <c r="I606" s="383">
        <f t="shared" si="39"/>
        <v>44.21</v>
      </c>
    </row>
    <row r="607" spans="1:9" x14ac:dyDescent="0.25">
      <c r="A607" s="579" t="s">
        <v>1691</v>
      </c>
      <c r="B607" s="609" t="s">
        <v>315</v>
      </c>
      <c r="C607" s="557" t="s">
        <v>1692</v>
      </c>
      <c r="D607" s="419" t="s">
        <v>1693</v>
      </c>
      <c r="E607" s="398" t="s">
        <v>1082</v>
      </c>
      <c r="F607" s="400">
        <v>1</v>
      </c>
      <c r="G607" s="400">
        <v>31.56</v>
      </c>
      <c r="H607" s="382">
        <f t="shared" si="38"/>
        <v>39.427908000000002</v>
      </c>
      <c r="I607" s="383">
        <f t="shared" si="39"/>
        <v>39.43</v>
      </c>
    </row>
    <row r="608" spans="1:9" x14ac:dyDescent="0.25">
      <c r="A608" s="579" t="s">
        <v>1694</v>
      </c>
      <c r="B608" s="608" t="s">
        <v>504</v>
      </c>
      <c r="C608" s="557" t="s">
        <v>1695</v>
      </c>
      <c r="D608" s="419" t="s">
        <v>1696</v>
      </c>
      <c r="E608" s="398" t="s">
        <v>473</v>
      </c>
      <c r="F608" s="400">
        <v>10</v>
      </c>
      <c r="G608" s="400">
        <v>19.36</v>
      </c>
      <c r="H608" s="382">
        <f t="shared" si="38"/>
        <v>24.186447999999999</v>
      </c>
      <c r="I608" s="383">
        <f t="shared" si="39"/>
        <v>241.86</v>
      </c>
    </row>
    <row r="609" spans="1:9" x14ac:dyDescent="0.25">
      <c r="A609" s="579"/>
      <c r="B609" s="608"/>
      <c r="C609" s="557"/>
      <c r="D609" s="419"/>
      <c r="E609" s="398"/>
      <c r="F609" s="400"/>
      <c r="G609" s="400"/>
      <c r="H609" s="382"/>
      <c r="I609" s="383"/>
    </row>
    <row r="610" spans="1:9" x14ac:dyDescent="0.25">
      <c r="A610" s="577" t="s">
        <v>1697</v>
      </c>
      <c r="B610" s="604"/>
      <c r="C610" s="588"/>
      <c r="D610" s="446" t="s">
        <v>1698</v>
      </c>
      <c r="E610" s="447"/>
      <c r="F610" s="448"/>
      <c r="G610" s="448"/>
      <c r="H610" s="448"/>
      <c r="I610" s="449">
        <f>SUM(I611:I649)</f>
        <v>343275.96</v>
      </c>
    </row>
    <row r="611" spans="1:9" x14ac:dyDescent="0.25">
      <c r="A611" s="580" t="s">
        <v>1699</v>
      </c>
      <c r="B611" s="609"/>
      <c r="C611" s="564"/>
      <c r="D611" s="565" t="s">
        <v>1700</v>
      </c>
      <c r="E611" s="461"/>
      <c r="F611" s="462"/>
      <c r="G611" s="383"/>
      <c r="H611" s="382"/>
      <c r="I611" s="383"/>
    </row>
    <row r="612" spans="1:9" ht="28.5" x14ac:dyDescent="0.2">
      <c r="A612" s="579" t="s">
        <v>1701</v>
      </c>
      <c r="B612" s="609" t="s">
        <v>315</v>
      </c>
      <c r="C612" s="596">
        <v>91864</v>
      </c>
      <c r="D612" s="576" t="s">
        <v>1702</v>
      </c>
      <c r="E612" s="557" t="s">
        <v>473</v>
      </c>
      <c r="F612" s="400">
        <f>3*(225+95)</f>
        <v>960</v>
      </c>
      <c r="G612" s="400">
        <v>5.87</v>
      </c>
      <c r="H612" s="382">
        <f t="shared" ref="H612:H638" si="40">G612+(G612*$H$14)</f>
        <v>7.3333909999999998</v>
      </c>
      <c r="I612" s="383">
        <f t="shared" ref="I612:I638" si="41">ROUND(H612*F612,2)</f>
        <v>7040.06</v>
      </c>
    </row>
    <row r="613" spans="1:9" ht="28.5" x14ac:dyDescent="0.2">
      <c r="A613" s="579" t="s">
        <v>1703</v>
      </c>
      <c r="B613" s="609" t="s">
        <v>315</v>
      </c>
      <c r="C613" s="596">
        <v>91170</v>
      </c>
      <c r="D613" s="576" t="s">
        <v>1704</v>
      </c>
      <c r="E613" s="557" t="s">
        <v>1082</v>
      </c>
      <c r="F613" s="400">
        <f>450+130</f>
        <v>580</v>
      </c>
      <c r="G613" s="400">
        <v>1.97</v>
      </c>
      <c r="H613" s="382">
        <f t="shared" si="40"/>
        <v>2.4611209999999999</v>
      </c>
      <c r="I613" s="383">
        <f t="shared" si="41"/>
        <v>1427.45</v>
      </c>
    </row>
    <row r="614" spans="1:9" ht="28.5" x14ac:dyDescent="0.2">
      <c r="A614" s="579" t="s">
        <v>1705</v>
      </c>
      <c r="B614" s="609" t="s">
        <v>315</v>
      </c>
      <c r="C614" s="596">
        <v>91893</v>
      </c>
      <c r="D614" s="576" t="s">
        <v>1706</v>
      </c>
      <c r="E614" s="557" t="s">
        <v>1082</v>
      </c>
      <c r="F614" s="400">
        <f>72+45</f>
        <v>117</v>
      </c>
      <c r="G614" s="400">
        <v>8.64</v>
      </c>
      <c r="H614" s="382">
        <f t="shared" si="40"/>
        <v>10.793952000000001</v>
      </c>
      <c r="I614" s="383">
        <f t="shared" si="41"/>
        <v>1262.8900000000001</v>
      </c>
    </row>
    <row r="615" spans="1:9" ht="28.5" x14ac:dyDescent="0.2">
      <c r="A615" s="579" t="s">
        <v>1707</v>
      </c>
      <c r="B615" s="609" t="s">
        <v>315</v>
      </c>
      <c r="C615" s="596">
        <v>91876</v>
      </c>
      <c r="D615" s="576" t="s">
        <v>1708</v>
      </c>
      <c r="E615" s="557" t="s">
        <v>1082</v>
      </c>
      <c r="F615" s="400">
        <v>234</v>
      </c>
      <c r="G615" s="400">
        <v>4.99</v>
      </c>
      <c r="H615" s="382">
        <f t="shared" si="40"/>
        <v>6.2340070000000001</v>
      </c>
      <c r="I615" s="383">
        <f t="shared" si="41"/>
        <v>1458.76</v>
      </c>
    </row>
    <row r="616" spans="1:9" x14ac:dyDescent="0.2">
      <c r="A616" s="579" t="s">
        <v>1709</v>
      </c>
      <c r="B616" s="609" t="s">
        <v>315</v>
      </c>
      <c r="C616" s="596">
        <v>84158</v>
      </c>
      <c r="D616" s="576" t="s">
        <v>1710</v>
      </c>
      <c r="E616" s="557" t="s">
        <v>1082</v>
      </c>
      <c r="F616" s="400">
        <v>978</v>
      </c>
      <c r="G616" s="400">
        <v>1.26</v>
      </c>
      <c r="H616" s="382">
        <f t="shared" si="40"/>
        <v>1.5741179999999999</v>
      </c>
      <c r="I616" s="383">
        <f t="shared" si="41"/>
        <v>1539.49</v>
      </c>
    </row>
    <row r="617" spans="1:9" x14ac:dyDescent="0.2">
      <c r="A617" s="579" t="s">
        <v>1711</v>
      </c>
      <c r="B617" s="608" t="s">
        <v>601</v>
      </c>
      <c r="C617" s="596" t="s">
        <v>985</v>
      </c>
      <c r="D617" s="576" t="s">
        <v>1712</v>
      </c>
      <c r="E617" s="557" t="s">
        <v>473</v>
      </c>
      <c r="F617" s="400">
        <f>3*(220+130)</f>
        <v>1050</v>
      </c>
      <c r="G617" s="400">
        <v>64.22</v>
      </c>
      <c r="H617" s="382">
        <f t="shared" si="40"/>
        <v>80.230046000000002</v>
      </c>
      <c r="I617" s="383">
        <f t="shared" si="41"/>
        <v>84241.55</v>
      </c>
    </row>
    <row r="618" spans="1:9" x14ac:dyDescent="0.2">
      <c r="A618" s="579" t="s">
        <v>1713</v>
      </c>
      <c r="B618" s="608" t="s">
        <v>320</v>
      </c>
      <c r="C618" s="596">
        <v>8113</v>
      </c>
      <c r="D618" s="576" t="s">
        <v>1714</v>
      </c>
      <c r="E618" s="557" t="s">
        <v>1082</v>
      </c>
      <c r="F618" s="400">
        <v>20</v>
      </c>
      <c r="G618" s="400">
        <v>28</v>
      </c>
      <c r="H618" s="382">
        <f t="shared" si="40"/>
        <v>34.980400000000003</v>
      </c>
      <c r="I618" s="383">
        <f t="shared" si="41"/>
        <v>699.61</v>
      </c>
    </row>
    <row r="619" spans="1:9" x14ac:dyDescent="0.2">
      <c r="A619" s="579" t="s">
        <v>1715</v>
      </c>
      <c r="B619" s="608" t="s">
        <v>320</v>
      </c>
      <c r="C619" s="596">
        <v>7877</v>
      </c>
      <c r="D619" s="576" t="s">
        <v>1716</v>
      </c>
      <c r="E619" s="557" t="s">
        <v>1082</v>
      </c>
      <c r="F619" s="400">
        <v>18</v>
      </c>
      <c r="G619" s="400">
        <v>14.99</v>
      </c>
      <c r="H619" s="382">
        <f t="shared" si="40"/>
        <v>18.727007</v>
      </c>
      <c r="I619" s="383">
        <f t="shared" si="41"/>
        <v>337.09</v>
      </c>
    </row>
    <row r="620" spans="1:9" x14ac:dyDescent="0.2">
      <c r="A620" s="579" t="s">
        <v>1717</v>
      </c>
      <c r="B620" s="608" t="s">
        <v>320</v>
      </c>
      <c r="C620" s="596">
        <v>4532</v>
      </c>
      <c r="D620" s="576" t="s">
        <v>1718</v>
      </c>
      <c r="E620" s="557" t="s">
        <v>1082</v>
      </c>
      <c r="F620" s="400">
        <v>8</v>
      </c>
      <c r="G620" s="400">
        <v>31.37</v>
      </c>
      <c r="H620" s="382">
        <f t="shared" si="40"/>
        <v>39.190541000000003</v>
      </c>
      <c r="I620" s="383">
        <f t="shared" si="41"/>
        <v>313.52</v>
      </c>
    </row>
    <row r="621" spans="1:9" x14ac:dyDescent="0.2">
      <c r="A621" s="579" t="s">
        <v>1719</v>
      </c>
      <c r="B621" s="608" t="s">
        <v>320</v>
      </c>
      <c r="C621" s="596">
        <v>8221</v>
      </c>
      <c r="D621" s="576" t="s">
        <v>1720</v>
      </c>
      <c r="E621" s="557" t="s">
        <v>1082</v>
      </c>
      <c r="F621" s="400">
        <v>9</v>
      </c>
      <c r="G621" s="400">
        <v>24.34</v>
      </c>
      <c r="H621" s="382">
        <f t="shared" si="40"/>
        <v>30.407961999999998</v>
      </c>
      <c r="I621" s="383">
        <f t="shared" si="41"/>
        <v>273.67</v>
      </c>
    </row>
    <row r="622" spans="1:9" x14ac:dyDescent="0.2">
      <c r="A622" s="579" t="s">
        <v>1721</v>
      </c>
      <c r="B622" s="608" t="s">
        <v>320</v>
      </c>
      <c r="C622" s="596">
        <v>9533</v>
      </c>
      <c r="D622" s="576" t="s">
        <v>1722</v>
      </c>
      <c r="E622" s="557" t="s">
        <v>1082</v>
      </c>
      <c r="F622" s="400">
        <v>170</v>
      </c>
      <c r="G622" s="400">
        <v>12.3</v>
      </c>
      <c r="H622" s="382">
        <f t="shared" si="40"/>
        <v>15.366390000000001</v>
      </c>
      <c r="I622" s="383">
        <f t="shared" si="41"/>
        <v>2612.29</v>
      </c>
    </row>
    <row r="623" spans="1:9" x14ac:dyDescent="0.2">
      <c r="A623" s="579" t="s">
        <v>1723</v>
      </c>
      <c r="B623" s="608" t="s">
        <v>320</v>
      </c>
      <c r="C623" s="596">
        <v>7820</v>
      </c>
      <c r="D623" s="576" t="s">
        <v>1724</v>
      </c>
      <c r="E623" s="557" t="s">
        <v>1082</v>
      </c>
      <c r="F623" s="400">
        <v>1105</v>
      </c>
      <c r="G623" s="400">
        <v>13.69</v>
      </c>
      <c r="H623" s="382">
        <f t="shared" si="40"/>
        <v>17.102916999999998</v>
      </c>
      <c r="I623" s="383">
        <f t="shared" si="41"/>
        <v>18898.72</v>
      </c>
    </row>
    <row r="624" spans="1:9" x14ac:dyDescent="0.2">
      <c r="A624" s="579" t="s">
        <v>1725</v>
      </c>
      <c r="B624" s="608" t="s">
        <v>320</v>
      </c>
      <c r="C624" s="596">
        <v>7879</v>
      </c>
      <c r="D624" s="576" t="s">
        <v>1726</v>
      </c>
      <c r="E624" s="557" t="s">
        <v>1082</v>
      </c>
      <c r="F624" s="636">
        <v>1050</v>
      </c>
      <c r="G624" s="400">
        <v>7.9</v>
      </c>
      <c r="H624" s="382">
        <f t="shared" si="40"/>
        <v>9.8694699999999997</v>
      </c>
      <c r="I624" s="383">
        <f t="shared" si="41"/>
        <v>10362.94</v>
      </c>
    </row>
    <row r="625" spans="1:10" x14ac:dyDescent="0.2">
      <c r="A625" s="579" t="s">
        <v>1727</v>
      </c>
      <c r="B625" s="608" t="s">
        <v>320</v>
      </c>
      <c r="C625" s="596">
        <v>9522</v>
      </c>
      <c r="D625" s="576" t="s">
        <v>1728</v>
      </c>
      <c r="E625" s="557" t="s">
        <v>1082</v>
      </c>
      <c r="F625" s="636">
        <v>1050</v>
      </c>
      <c r="G625" s="400">
        <v>6.55</v>
      </c>
      <c r="H625" s="382">
        <f t="shared" si="40"/>
        <v>8.1829149999999995</v>
      </c>
      <c r="I625" s="383">
        <f t="shared" si="41"/>
        <v>8592.06</v>
      </c>
    </row>
    <row r="626" spans="1:10" ht="28.5" x14ac:dyDescent="0.2">
      <c r="A626" s="579" t="s">
        <v>1729</v>
      </c>
      <c r="B626" s="624" t="s">
        <v>320</v>
      </c>
      <c r="C626" s="596">
        <v>7384</v>
      </c>
      <c r="D626" s="701" t="s">
        <v>1730</v>
      </c>
      <c r="E626" s="557" t="s">
        <v>473</v>
      </c>
      <c r="F626" s="636">
        <v>1050</v>
      </c>
      <c r="G626" s="400">
        <v>16.670000000000002</v>
      </c>
      <c r="H626" s="382">
        <f t="shared" si="40"/>
        <v>20.825831000000001</v>
      </c>
      <c r="I626" s="383">
        <f t="shared" si="41"/>
        <v>21867.119999999999</v>
      </c>
    </row>
    <row r="627" spans="1:10" x14ac:dyDescent="0.2">
      <c r="A627" s="579" t="s">
        <v>1731</v>
      </c>
      <c r="B627" s="624" t="s">
        <v>601</v>
      </c>
      <c r="C627" s="596" t="s">
        <v>1732</v>
      </c>
      <c r="D627" s="701" t="s">
        <v>1733</v>
      </c>
      <c r="E627" s="557" t="s">
        <v>473</v>
      </c>
      <c r="F627" s="400">
        <f>3*(33+20)</f>
        <v>159</v>
      </c>
      <c r="G627" s="400">
        <v>33.22</v>
      </c>
      <c r="H627" s="382">
        <f t="shared" si="40"/>
        <v>41.501745999999997</v>
      </c>
      <c r="I627" s="383">
        <f t="shared" si="41"/>
        <v>6598.78</v>
      </c>
    </row>
    <row r="628" spans="1:10" x14ac:dyDescent="0.2">
      <c r="A628" s="579" t="s">
        <v>1734</v>
      </c>
      <c r="B628" s="624" t="s">
        <v>601</v>
      </c>
      <c r="C628" s="596" t="s">
        <v>1735</v>
      </c>
      <c r="D628" s="241" t="s">
        <v>1736</v>
      </c>
      <c r="E628" s="557" t="s">
        <v>1082</v>
      </c>
      <c r="F628" s="400">
        <v>12</v>
      </c>
      <c r="G628" s="400">
        <v>28.36</v>
      </c>
      <c r="H628" s="382">
        <f t="shared" si="40"/>
        <v>35.430148000000003</v>
      </c>
      <c r="I628" s="383">
        <f t="shared" si="41"/>
        <v>425.16</v>
      </c>
    </row>
    <row r="629" spans="1:10" x14ac:dyDescent="0.2">
      <c r="A629" s="579" t="s">
        <v>1737</v>
      </c>
      <c r="B629" s="624" t="s">
        <v>320</v>
      </c>
      <c r="C629" s="596">
        <v>9816</v>
      </c>
      <c r="D629" s="701" t="s">
        <v>1738</v>
      </c>
      <c r="E629" s="557" t="s">
        <v>1082</v>
      </c>
      <c r="F629" s="400">
        <f>5280+2960</f>
        <v>8240</v>
      </c>
      <c r="G629" s="400">
        <v>0.33</v>
      </c>
      <c r="H629" s="382">
        <f t="shared" si="40"/>
        <v>0.412269</v>
      </c>
      <c r="I629" s="383">
        <f t="shared" si="41"/>
        <v>3397.1</v>
      </c>
    </row>
    <row r="630" spans="1:10" x14ac:dyDescent="0.2">
      <c r="A630" s="579" t="s">
        <v>1739</v>
      </c>
      <c r="B630" s="624" t="s">
        <v>320</v>
      </c>
      <c r="C630" s="596">
        <v>9832</v>
      </c>
      <c r="D630" s="701" t="s">
        <v>1740</v>
      </c>
      <c r="E630" s="557" t="s">
        <v>1082</v>
      </c>
      <c r="F630" s="400">
        <v>8240</v>
      </c>
      <c r="G630" s="400">
        <v>1.19</v>
      </c>
      <c r="H630" s="382">
        <f t="shared" si="40"/>
        <v>1.486667</v>
      </c>
      <c r="I630" s="383">
        <f t="shared" si="41"/>
        <v>12250.14</v>
      </c>
    </row>
    <row r="631" spans="1:10" ht="28.5" x14ac:dyDescent="0.2">
      <c r="A631" s="579" t="s">
        <v>1741</v>
      </c>
      <c r="B631" s="624" t="s">
        <v>320</v>
      </c>
      <c r="C631" s="596">
        <v>7384</v>
      </c>
      <c r="D631" s="701" t="s">
        <v>1730</v>
      </c>
      <c r="E631" s="557" t="s">
        <v>473</v>
      </c>
      <c r="F631" s="400">
        <v>159</v>
      </c>
      <c r="G631" s="400">
        <v>16.670000000000002</v>
      </c>
      <c r="H631" s="382">
        <f t="shared" si="40"/>
        <v>20.825831000000001</v>
      </c>
      <c r="I631" s="383">
        <f t="shared" si="41"/>
        <v>3311.31</v>
      </c>
    </row>
    <row r="632" spans="1:10" x14ac:dyDescent="0.2">
      <c r="A632" s="579" t="s">
        <v>1742</v>
      </c>
      <c r="B632" s="624" t="s">
        <v>320</v>
      </c>
      <c r="C632" s="596">
        <v>9668</v>
      </c>
      <c r="D632" s="701" t="s">
        <v>1743</v>
      </c>
      <c r="E632" s="557" t="s">
        <v>1082</v>
      </c>
      <c r="F632" s="400">
        <f>1320+740</f>
        <v>2060</v>
      </c>
      <c r="G632" s="400">
        <v>7.95</v>
      </c>
      <c r="H632" s="382">
        <f t="shared" si="40"/>
        <v>9.9319349999999993</v>
      </c>
      <c r="I632" s="383">
        <f t="shared" si="41"/>
        <v>20459.79</v>
      </c>
    </row>
    <row r="633" spans="1:10" x14ac:dyDescent="0.2">
      <c r="A633" s="579" t="s">
        <v>1744</v>
      </c>
      <c r="B633" s="624" t="s">
        <v>320</v>
      </c>
      <c r="C633" s="596">
        <v>9819</v>
      </c>
      <c r="D633" s="701" t="s">
        <v>1745</v>
      </c>
      <c r="E633" s="557" t="s">
        <v>1082</v>
      </c>
      <c r="F633" s="400">
        <f>1770+870</f>
        <v>2640</v>
      </c>
      <c r="G633" s="400">
        <v>3</v>
      </c>
      <c r="H633" s="382">
        <f t="shared" si="40"/>
        <v>3.7479</v>
      </c>
      <c r="I633" s="383">
        <f t="shared" si="41"/>
        <v>9894.4599999999991</v>
      </c>
    </row>
    <row r="634" spans="1:10" ht="28.5" x14ac:dyDescent="0.2">
      <c r="A634" s="579" t="s">
        <v>1746</v>
      </c>
      <c r="B634" s="619" t="s">
        <v>315</v>
      </c>
      <c r="C634" s="596">
        <v>92870</v>
      </c>
      <c r="D634" s="701" t="s">
        <v>1747</v>
      </c>
      <c r="E634" s="557" t="s">
        <v>1082</v>
      </c>
      <c r="F634" s="400">
        <f>65+36</f>
        <v>101</v>
      </c>
      <c r="G634" s="400">
        <v>19.39</v>
      </c>
      <c r="H634" s="382">
        <f t="shared" si="40"/>
        <v>24.223927</v>
      </c>
      <c r="I634" s="383">
        <f t="shared" si="41"/>
        <v>2446.62</v>
      </c>
    </row>
    <row r="635" spans="1:10" x14ac:dyDescent="0.2">
      <c r="A635" s="579" t="s">
        <v>1748</v>
      </c>
      <c r="B635" s="624" t="s">
        <v>601</v>
      </c>
      <c r="C635" s="596" t="s">
        <v>1749</v>
      </c>
      <c r="D635" s="701" t="s">
        <v>1750</v>
      </c>
      <c r="E635" s="557" t="s">
        <v>1082</v>
      </c>
      <c r="F635" s="400">
        <v>101</v>
      </c>
      <c r="G635" s="400">
        <v>5.63</v>
      </c>
      <c r="H635" s="382">
        <f t="shared" si="40"/>
        <v>7.0335590000000003</v>
      </c>
      <c r="I635" s="383">
        <f t="shared" si="41"/>
        <v>710.39</v>
      </c>
    </row>
    <row r="636" spans="1:10" x14ac:dyDescent="0.2">
      <c r="A636" s="579" t="s">
        <v>1751</v>
      </c>
      <c r="B636" s="608" t="s">
        <v>601</v>
      </c>
      <c r="C636" s="596" t="s">
        <v>1752</v>
      </c>
      <c r="D636" s="576" t="s">
        <v>1753</v>
      </c>
      <c r="E636" s="557" t="s">
        <v>473</v>
      </c>
      <c r="F636" s="400">
        <f>915+500</f>
        <v>1415</v>
      </c>
      <c r="G636" s="400">
        <v>7.69</v>
      </c>
      <c r="H636" s="382">
        <f t="shared" si="40"/>
        <v>9.6071170000000006</v>
      </c>
      <c r="I636" s="383">
        <f t="shared" si="41"/>
        <v>13594.07</v>
      </c>
    </row>
    <row r="637" spans="1:10" x14ac:dyDescent="0.2">
      <c r="A637" s="579" t="s">
        <v>1754</v>
      </c>
      <c r="B637" s="609" t="s">
        <v>315</v>
      </c>
      <c r="C637" s="596">
        <v>92865</v>
      </c>
      <c r="D637" s="576" t="s">
        <v>1755</v>
      </c>
      <c r="E637" s="557" t="s">
        <v>1082</v>
      </c>
      <c r="F637" s="400">
        <f>201+90</f>
        <v>291</v>
      </c>
      <c r="G637" s="400">
        <v>6.35</v>
      </c>
      <c r="H637" s="382">
        <f t="shared" si="40"/>
        <v>7.9330549999999995</v>
      </c>
      <c r="I637" s="383">
        <f t="shared" si="41"/>
        <v>2308.52</v>
      </c>
    </row>
    <row r="638" spans="1:10" x14ac:dyDescent="0.2">
      <c r="A638" s="579" t="s">
        <v>1756</v>
      </c>
      <c r="B638" s="608" t="s">
        <v>320</v>
      </c>
      <c r="C638" s="596">
        <v>11633</v>
      </c>
      <c r="D638" s="576" t="s">
        <v>1757</v>
      </c>
      <c r="E638" s="557" t="s">
        <v>473</v>
      </c>
      <c r="F638" s="400">
        <f>1120+610</f>
        <v>1730</v>
      </c>
      <c r="G638" s="400">
        <v>6</v>
      </c>
      <c r="H638" s="382">
        <f t="shared" si="40"/>
        <v>7.4958</v>
      </c>
      <c r="I638" s="383">
        <f t="shared" si="41"/>
        <v>12967.73</v>
      </c>
    </row>
    <row r="639" spans="1:10" x14ac:dyDescent="0.25">
      <c r="A639" s="580" t="s">
        <v>1758</v>
      </c>
      <c r="B639" s="609"/>
      <c r="C639" s="598"/>
      <c r="D639" s="567" t="s">
        <v>1759</v>
      </c>
      <c r="E639" s="564"/>
      <c r="F639" s="462"/>
      <c r="G639" s="383"/>
      <c r="H639" s="382"/>
      <c r="I639" s="383"/>
    </row>
    <row r="640" spans="1:10" ht="28.5" x14ac:dyDescent="0.2">
      <c r="A640" s="579" t="s">
        <v>1760</v>
      </c>
      <c r="B640" s="609" t="s">
        <v>315</v>
      </c>
      <c r="C640" s="596">
        <v>91864</v>
      </c>
      <c r="D640" s="576" t="s">
        <v>1702</v>
      </c>
      <c r="E640" s="557" t="s">
        <v>473</v>
      </c>
      <c r="F640" s="400">
        <v>1995</v>
      </c>
      <c r="G640" s="400">
        <v>5.87</v>
      </c>
      <c r="H640" s="382">
        <f t="shared" ref="H640:H648" si="42">G640+(G640*$H$14)</f>
        <v>7.3333909999999998</v>
      </c>
      <c r="I640" s="383">
        <f t="shared" ref="I640:I648" si="43">ROUND(H640*F640,2)</f>
        <v>14630.12</v>
      </c>
      <c r="J640" s="733"/>
    </row>
    <row r="641" spans="1:10" ht="28.5" x14ac:dyDescent="0.2">
      <c r="A641" s="579" t="s">
        <v>1761</v>
      </c>
      <c r="B641" s="609" t="s">
        <v>315</v>
      </c>
      <c r="C641" s="596">
        <v>91170</v>
      </c>
      <c r="D641" s="576" t="s">
        <v>1704</v>
      </c>
      <c r="E641" s="557" t="s">
        <v>473</v>
      </c>
      <c r="F641" s="400">
        <v>998</v>
      </c>
      <c r="G641" s="400">
        <v>1.97</v>
      </c>
      <c r="H641" s="382">
        <f t="shared" si="42"/>
        <v>2.4611209999999999</v>
      </c>
      <c r="I641" s="383">
        <f t="shared" si="43"/>
        <v>2456.1999999999998</v>
      </c>
      <c r="J641" s="734"/>
    </row>
    <row r="642" spans="1:10" ht="28.5" x14ac:dyDescent="0.2">
      <c r="A642" s="579" t="s">
        <v>1762</v>
      </c>
      <c r="B642" s="609" t="s">
        <v>315</v>
      </c>
      <c r="C642" s="596">
        <v>91893</v>
      </c>
      <c r="D642" s="576" t="s">
        <v>1706</v>
      </c>
      <c r="E642" s="557" t="s">
        <v>1082</v>
      </c>
      <c r="F642" s="400">
        <v>260</v>
      </c>
      <c r="G642" s="400">
        <v>8.64</v>
      </c>
      <c r="H642" s="382">
        <f t="shared" si="42"/>
        <v>10.793952000000001</v>
      </c>
      <c r="I642" s="383">
        <f t="shared" si="43"/>
        <v>2806.43</v>
      </c>
      <c r="J642" s="734"/>
    </row>
    <row r="643" spans="1:10" ht="28.5" x14ac:dyDescent="0.2">
      <c r="A643" s="579" t="s">
        <v>1763</v>
      </c>
      <c r="B643" s="609" t="s">
        <v>315</v>
      </c>
      <c r="C643" s="596">
        <v>91876</v>
      </c>
      <c r="D643" s="576" t="s">
        <v>1708</v>
      </c>
      <c r="E643" s="557" t="s">
        <v>1082</v>
      </c>
      <c r="F643" s="400">
        <v>540</v>
      </c>
      <c r="G643" s="400">
        <v>4.99</v>
      </c>
      <c r="H643" s="382">
        <f t="shared" si="42"/>
        <v>6.2340070000000001</v>
      </c>
      <c r="I643" s="383">
        <f t="shared" si="43"/>
        <v>3366.36</v>
      </c>
      <c r="J643" s="734"/>
    </row>
    <row r="644" spans="1:10" x14ac:dyDescent="0.2">
      <c r="A644" s="579" t="s">
        <v>1764</v>
      </c>
      <c r="B644" s="609" t="s">
        <v>315</v>
      </c>
      <c r="C644" s="596">
        <v>84158</v>
      </c>
      <c r="D644" s="576" t="s">
        <v>1710</v>
      </c>
      <c r="E644" s="557" t="s">
        <v>1082</v>
      </c>
      <c r="F644" s="400">
        <v>242</v>
      </c>
      <c r="G644" s="400">
        <v>1.26</v>
      </c>
      <c r="H644" s="382">
        <f t="shared" si="42"/>
        <v>1.5741179999999999</v>
      </c>
      <c r="I644" s="383">
        <f t="shared" si="43"/>
        <v>380.94</v>
      </c>
      <c r="J644" s="734"/>
    </row>
    <row r="645" spans="1:10" x14ac:dyDescent="0.2">
      <c r="A645" s="579" t="s">
        <v>1765</v>
      </c>
      <c r="B645" s="609" t="s">
        <v>315</v>
      </c>
      <c r="C645" s="596">
        <v>92865</v>
      </c>
      <c r="D645" s="576" t="s">
        <v>1755</v>
      </c>
      <c r="E645" s="557" t="s">
        <v>1082</v>
      </c>
      <c r="F645" s="400">
        <v>67</v>
      </c>
      <c r="G645" s="400">
        <v>6.35</v>
      </c>
      <c r="H645" s="382">
        <f t="shared" si="42"/>
        <v>7.9330549999999995</v>
      </c>
      <c r="I645" s="383">
        <f t="shared" si="43"/>
        <v>531.51</v>
      </c>
      <c r="J645" s="734"/>
    </row>
    <row r="646" spans="1:10" ht="28.5" x14ac:dyDescent="0.2">
      <c r="A646" s="579" t="s">
        <v>1766</v>
      </c>
      <c r="B646" s="609" t="s">
        <v>315</v>
      </c>
      <c r="C646" s="596">
        <v>92872</v>
      </c>
      <c r="D646" s="576" t="s">
        <v>1767</v>
      </c>
      <c r="E646" s="557" t="s">
        <v>1082</v>
      </c>
      <c r="F646" s="400">
        <v>54</v>
      </c>
      <c r="G646" s="400">
        <v>7.44</v>
      </c>
      <c r="H646" s="382">
        <f t="shared" si="42"/>
        <v>9.2947920000000011</v>
      </c>
      <c r="I646" s="383">
        <f t="shared" si="43"/>
        <v>501.92</v>
      </c>
      <c r="J646" s="734"/>
    </row>
    <row r="647" spans="1:10" x14ac:dyDescent="0.2">
      <c r="A647" s="579" t="s">
        <v>1768</v>
      </c>
      <c r="B647" s="608" t="s">
        <v>601</v>
      </c>
      <c r="C647" s="596" t="s">
        <v>1749</v>
      </c>
      <c r="D647" s="576" t="s">
        <v>1769</v>
      </c>
      <c r="E647" s="557" t="s">
        <v>1082</v>
      </c>
      <c r="F647" s="400">
        <f>+F646</f>
        <v>54</v>
      </c>
      <c r="G647" s="400">
        <v>5.63</v>
      </c>
      <c r="H647" s="382">
        <f t="shared" si="42"/>
        <v>7.0335590000000003</v>
      </c>
      <c r="I647" s="383">
        <f t="shared" si="43"/>
        <v>379.81</v>
      </c>
      <c r="J647" s="735"/>
    </row>
    <row r="648" spans="1:10" x14ac:dyDescent="0.2">
      <c r="A648" s="579" t="s">
        <v>1770</v>
      </c>
      <c r="B648" s="624" t="s">
        <v>320</v>
      </c>
      <c r="C648" s="596">
        <v>3794</v>
      </c>
      <c r="D648" s="701" t="s">
        <v>1771</v>
      </c>
      <c r="E648" s="557" t="s">
        <v>374</v>
      </c>
      <c r="F648" s="400">
        <v>15200</v>
      </c>
      <c r="G648" s="400">
        <v>3.63</v>
      </c>
      <c r="H648" s="382">
        <f t="shared" si="42"/>
        <v>4.5349589999999997</v>
      </c>
      <c r="I648" s="383">
        <f t="shared" si="43"/>
        <v>68931.38</v>
      </c>
    </row>
    <row r="649" spans="1:10" x14ac:dyDescent="0.25">
      <c r="A649" s="580"/>
      <c r="B649" s="609"/>
      <c r="C649" s="564"/>
      <c r="D649" s="566"/>
      <c r="E649" s="461"/>
      <c r="F649" s="462"/>
      <c r="G649" s="383"/>
      <c r="H649" s="382"/>
      <c r="I649" s="383"/>
    </row>
    <row r="650" spans="1:10" x14ac:dyDescent="0.25">
      <c r="A650" s="577" t="s">
        <v>1772</v>
      </c>
      <c r="B650" s="604"/>
      <c r="C650" s="588"/>
      <c r="D650" s="446" t="s">
        <v>1773</v>
      </c>
      <c r="E650" s="447"/>
      <c r="F650" s="448"/>
      <c r="G650" s="448"/>
      <c r="H650" s="448"/>
      <c r="I650" s="449">
        <f>SUM(I651:I753)</f>
        <v>803971.29</v>
      </c>
    </row>
    <row r="651" spans="1:10" x14ac:dyDescent="0.25">
      <c r="A651" s="580" t="s">
        <v>1774</v>
      </c>
      <c r="B651" s="609"/>
      <c r="C651" s="564"/>
      <c r="D651" s="565" t="s">
        <v>1775</v>
      </c>
      <c r="E651" s="569"/>
      <c r="F651" s="462"/>
      <c r="G651" s="383"/>
      <c r="H651" s="382"/>
      <c r="I651" s="383"/>
    </row>
    <row r="652" spans="1:10" ht="28.5" customHeight="1" x14ac:dyDescent="0.2">
      <c r="A652" s="579" t="s">
        <v>1776</v>
      </c>
      <c r="B652" s="609" t="s">
        <v>315</v>
      </c>
      <c r="C652" s="596">
        <v>91864</v>
      </c>
      <c r="D652" s="576" t="s">
        <v>1702</v>
      </c>
      <c r="E652" s="398" t="s">
        <v>473</v>
      </c>
      <c r="F652" s="637">
        <v>780</v>
      </c>
      <c r="G652" s="400">
        <v>5.87</v>
      </c>
      <c r="H652" s="382">
        <f t="shared" ref="H652:H679" si="44">G652+(G652*$H$14)</f>
        <v>7.3333909999999998</v>
      </c>
      <c r="I652" s="383">
        <f t="shared" ref="I652:I679" si="45">ROUND(H652*F652,2)</f>
        <v>5720.04</v>
      </c>
    </row>
    <row r="653" spans="1:10" ht="28.5" customHeight="1" x14ac:dyDescent="0.2">
      <c r="A653" s="579" t="s">
        <v>1777</v>
      </c>
      <c r="B653" s="609" t="s">
        <v>315</v>
      </c>
      <c r="C653" s="596">
        <v>91170</v>
      </c>
      <c r="D653" s="576" t="s">
        <v>1704</v>
      </c>
      <c r="E653" s="398" t="s">
        <v>1082</v>
      </c>
      <c r="F653" s="637">
        <v>780</v>
      </c>
      <c r="G653" s="400">
        <v>1.97</v>
      </c>
      <c r="H653" s="382">
        <f t="shared" si="44"/>
        <v>2.4611209999999999</v>
      </c>
      <c r="I653" s="383">
        <f t="shared" si="45"/>
        <v>1919.67</v>
      </c>
    </row>
    <row r="654" spans="1:10" ht="28.5" customHeight="1" x14ac:dyDescent="0.2">
      <c r="A654" s="579" t="s">
        <v>1778</v>
      </c>
      <c r="B654" s="609" t="s">
        <v>315</v>
      </c>
      <c r="C654" s="596">
        <v>91893</v>
      </c>
      <c r="D654" s="576" t="s">
        <v>1706</v>
      </c>
      <c r="E654" s="398" t="s">
        <v>1082</v>
      </c>
      <c r="F654" s="637">
        <v>29</v>
      </c>
      <c r="G654" s="400">
        <v>8.64</v>
      </c>
      <c r="H654" s="382">
        <f t="shared" si="44"/>
        <v>10.793952000000001</v>
      </c>
      <c r="I654" s="383">
        <f t="shared" si="45"/>
        <v>313.02</v>
      </c>
    </row>
    <row r="655" spans="1:10" ht="28.5" customHeight="1" x14ac:dyDescent="0.2">
      <c r="A655" s="579" t="s">
        <v>1779</v>
      </c>
      <c r="B655" s="609" t="s">
        <v>315</v>
      </c>
      <c r="C655" s="596">
        <v>91876</v>
      </c>
      <c r="D655" s="576" t="s">
        <v>1708</v>
      </c>
      <c r="E655" s="398" t="s">
        <v>1082</v>
      </c>
      <c r="F655" s="637">
        <v>58</v>
      </c>
      <c r="G655" s="400">
        <v>4.99</v>
      </c>
      <c r="H655" s="382">
        <f t="shared" si="44"/>
        <v>6.2340070000000001</v>
      </c>
      <c r="I655" s="383">
        <f t="shared" si="45"/>
        <v>361.57</v>
      </c>
    </row>
    <row r="656" spans="1:10" x14ac:dyDescent="0.2">
      <c r="A656" s="579" t="s">
        <v>1780</v>
      </c>
      <c r="B656" s="609" t="s">
        <v>315</v>
      </c>
      <c r="C656" s="596">
        <v>84158</v>
      </c>
      <c r="D656" s="576" t="s">
        <v>1710</v>
      </c>
      <c r="E656" s="398" t="s">
        <v>1082</v>
      </c>
      <c r="F656" s="637">
        <v>239</v>
      </c>
      <c r="G656" s="400">
        <v>1.26</v>
      </c>
      <c r="H656" s="382">
        <f t="shared" si="44"/>
        <v>1.5741179999999999</v>
      </c>
      <c r="I656" s="383">
        <f t="shared" si="45"/>
        <v>376.21</v>
      </c>
    </row>
    <row r="657" spans="1:9" x14ac:dyDescent="0.2">
      <c r="A657" s="579" t="s">
        <v>1781</v>
      </c>
      <c r="B657" s="608" t="s">
        <v>601</v>
      </c>
      <c r="C657" s="596" t="s">
        <v>985</v>
      </c>
      <c r="D657" s="576" t="s">
        <v>1712</v>
      </c>
      <c r="E657" s="398" t="s">
        <v>473</v>
      </c>
      <c r="F657" s="637">
        <v>594</v>
      </c>
      <c r="G657" s="400">
        <v>64.22</v>
      </c>
      <c r="H657" s="382">
        <f t="shared" si="44"/>
        <v>80.230046000000002</v>
      </c>
      <c r="I657" s="383">
        <f t="shared" si="45"/>
        <v>47656.65</v>
      </c>
    </row>
    <row r="658" spans="1:9" x14ac:dyDescent="0.2">
      <c r="A658" s="579" t="s">
        <v>1782</v>
      </c>
      <c r="B658" s="608" t="s">
        <v>320</v>
      </c>
      <c r="C658" s="596">
        <v>8113</v>
      </c>
      <c r="D658" s="576" t="s">
        <v>1714</v>
      </c>
      <c r="E658" s="398" t="s">
        <v>1082</v>
      </c>
      <c r="F658" s="637">
        <v>12</v>
      </c>
      <c r="G658" s="400">
        <v>28</v>
      </c>
      <c r="H658" s="382">
        <f t="shared" si="44"/>
        <v>34.980400000000003</v>
      </c>
      <c r="I658" s="383">
        <f t="shared" si="45"/>
        <v>419.76</v>
      </c>
    </row>
    <row r="659" spans="1:9" x14ac:dyDescent="0.2">
      <c r="A659" s="579" t="s">
        <v>1783</v>
      </c>
      <c r="B659" s="608" t="s">
        <v>320</v>
      </c>
      <c r="C659" s="596">
        <v>7877</v>
      </c>
      <c r="D659" s="576" t="s">
        <v>1716</v>
      </c>
      <c r="E659" s="398" t="s">
        <v>1082</v>
      </c>
      <c r="F659" s="637">
        <v>16</v>
      </c>
      <c r="G659" s="400">
        <v>14.99</v>
      </c>
      <c r="H659" s="382">
        <f t="shared" si="44"/>
        <v>18.727007</v>
      </c>
      <c r="I659" s="383">
        <f t="shared" si="45"/>
        <v>299.63</v>
      </c>
    </row>
    <row r="660" spans="1:9" x14ac:dyDescent="0.2">
      <c r="A660" s="579" t="s">
        <v>1784</v>
      </c>
      <c r="B660" s="608" t="s">
        <v>320</v>
      </c>
      <c r="C660" s="596">
        <v>4532</v>
      </c>
      <c r="D660" s="576" t="s">
        <v>1718</v>
      </c>
      <c r="E660" s="398" t="s">
        <v>1082</v>
      </c>
      <c r="F660" s="637">
        <v>5</v>
      </c>
      <c r="G660" s="400">
        <v>31.37</v>
      </c>
      <c r="H660" s="382">
        <f t="shared" si="44"/>
        <v>39.190541000000003</v>
      </c>
      <c r="I660" s="383">
        <f t="shared" si="45"/>
        <v>195.95</v>
      </c>
    </row>
    <row r="661" spans="1:9" x14ac:dyDescent="0.2">
      <c r="A661" s="579" t="s">
        <v>1785</v>
      </c>
      <c r="B661" s="608" t="s">
        <v>320</v>
      </c>
      <c r="C661" s="596">
        <v>8221</v>
      </c>
      <c r="D661" s="576" t="s">
        <v>1720</v>
      </c>
      <c r="E661" s="398" t="s">
        <v>1082</v>
      </c>
      <c r="F661" s="637">
        <v>2</v>
      </c>
      <c r="G661" s="400">
        <v>24.34</v>
      </c>
      <c r="H661" s="382">
        <f t="shared" si="44"/>
        <v>30.407961999999998</v>
      </c>
      <c r="I661" s="383">
        <f t="shared" si="45"/>
        <v>60.82</v>
      </c>
    </row>
    <row r="662" spans="1:9" x14ac:dyDescent="0.2">
      <c r="A662" s="579" t="s">
        <v>1786</v>
      </c>
      <c r="B662" s="608" t="s">
        <v>320</v>
      </c>
      <c r="C662" s="596">
        <v>9533</v>
      </c>
      <c r="D662" s="576" t="s">
        <v>1722</v>
      </c>
      <c r="E662" s="398" t="s">
        <v>1082</v>
      </c>
      <c r="F662" s="637">
        <v>69</v>
      </c>
      <c r="G662" s="400">
        <v>12.3</v>
      </c>
      <c r="H662" s="382">
        <f t="shared" si="44"/>
        <v>15.366390000000001</v>
      </c>
      <c r="I662" s="383">
        <f t="shared" si="45"/>
        <v>1060.28</v>
      </c>
    </row>
    <row r="663" spans="1:9" x14ac:dyDescent="0.2">
      <c r="A663" s="579" t="s">
        <v>1787</v>
      </c>
      <c r="B663" s="608" t="s">
        <v>320</v>
      </c>
      <c r="C663" s="596">
        <v>7820</v>
      </c>
      <c r="D663" s="576" t="s">
        <v>1724</v>
      </c>
      <c r="E663" s="398" t="s">
        <v>1082</v>
      </c>
      <c r="F663" s="637">
        <f>(+F657+F658+F659+F660+F661)</f>
        <v>629</v>
      </c>
      <c r="G663" s="400">
        <v>13.69</v>
      </c>
      <c r="H663" s="382">
        <f t="shared" si="44"/>
        <v>17.102916999999998</v>
      </c>
      <c r="I663" s="383">
        <f t="shared" si="45"/>
        <v>10757.73</v>
      </c>
    </row>
    <row r="664" spans="1:9" x14ac:dyDescent="0.2">
      <c r="A664" s="579" t="s">
        <v>1788</v>
      </c>
      <c r="B664" s="608" t="s">
        <v>320</v>
      </c>
      <c r="C664" s="596">
        <v>7879</v>
      </c>
      <c r="D664" s="576" t="s">
        <v>1726</v>
      </c>
      <c r="E664" s="398" t="s">
        <v>1082</v>
      </c>
      <c r="F664" s="638">
        <f>+F657</f>
        <v>594</v>
      </c>
      <c r="G664" s="400">
        <v>7.9</v>
      </c>
      <c r="H664" s="382">
        <f t="shared" si="44"/>
        <v>9.8694699999999997</v>
      </c>
      <c r="I664" s="383">
        <f t="shared" si="45"/>
        <v>5862.47</v>
      </c>
    </row>
    <row r="665" spans="1:9" x14ac:dyDescent="0.2">
      <c r="A665" s="579" t="s">
        <v>1789</v>
      </c>
      <c r="B665" s="608" t="s">
        <v>320</v>
      </c>
      <c r="C665" s="596">
        <v>9522</v>
      </c>
      <c r="D665" s="576" t="s">
        <v>1728</v>
      </c>
      <c r="E665" s="398" t="s">
        <v>1082</v>
      </c>
      <c r="F665" s="638">
        <f>+F657</f>
        <v>594</v>
      </c>
      <c r="G665" s="400">
        <v>6.55</v>
      </c>
      <c r="H665" s="382">
        <f t="shared" si="44"/>
        <v>8.1829149999999995</v>
      </c>
      <c r="I665" s="383">
        <f t="shared" si="45"/>
        <v>4860.6499999999996</v>
      </c>
    </row>
    <row r="666" spans="1:9" ht="28.5" x14ac:dyDescent="0.2">
      <c r="A666" s="579" t="s">
        <v>1790</v>
      </c>
      <c r="B666" s="624" t="s">
        <v>320</v>
      </c>
      <c r="C666" s="596">
        <v>7384</v>
      </c>
      <c r="D666" s="701" t="s">
        <v>1730</v>
      </c>
      <c r="E666" s="398" t="s">
        <v>473</v>
      </c>
      <c r="F666" s="637">
        <f>+F657</f>
        <v>594</v>
      </c>
      <c r="G666" s="400">
        <v>16.670000000000002</v>
      </c>
      <c r="H666" s="382">
        <f t="shared" si="44"/>
        <v>20.825831000000001</v>
      </c>
      <c r="I666" s="383">
        <f t="shared" si="45"/>
        <v>12370.54</v>
      </c>
    </row>
    <row r="667" spans="1:9" x14ac:dyDescent="0.2">
      <c r="A667" s="579" t="s">
        <v>1791</v>
      </c>
      <c r="B667" s="624" t="s">
        <v>601</v>
      </c>
      <c r="C667" s="596" t="s">
        <v>1732</v>
      </c>
      <c r="D667" s="701" t="s">
        <v>1733</v>
      </c>
      <c r="E667" s="398" t="s">
        <v>473</v>
      </c>
      <c r="F667" s="637">
        <v>96</v>
      </c>
      <c r="G667" s="400">
        <v>33.22</v>
      </c>
      <c r="H667" s="382">
        <f t="shared" si="44"/>
        <v>41.501745999999997</v>
      </c>
      <c r="I667" s="383">
        <f t="shared" si="45"/>
        <v>3984.17</v>
      </c>
    </row>
    <row r="668" spans="1:9" x14ac:dyDescent="0.2">
      <c r="A668" s="579" t="s">
        <v>1792</v>
      </c>
      <c r="B668" s="624" t="s">
        <v>601</v>
      </c>
      <c r="C668" s="596" t="s">
        <v>1735</v>
      </c>
      <c r="D668" s="717" t="s">
        <v>1736</v>
      </c>
      <c r="E668" s="398" t="s">
        <v>1082</v>
      </c>
      <c r="F668" s="637">
        <v>85</v>
      </c>
      <c r="G668" s="400">
        <v>28.36</v>
      </c>
      <c r="H668" s="382">
        <f t="shared" si="44"/>
        <v>35.430148000000003</v>
      </c>
      <c r="I668" s="383">
        <f t="shared" si="45"/>
        <v>3011.56</v>
      </c>
    </row>
    <row r="669" spans="1:9" x14ac:dyDescent="0.2">
      <c r="A669" s="579" t="s">
        <v>1793</v>
      </c>
      <c r="B669" s="624" t="s">
        <v>320</v>
      </c>
      <c r="C669" s="596">
        <v>9816</v>
      </c>
      <c r="D669" s="701" t="s">
        <v>1738</v>
      </c>
      <c r="E669" s="398" t="s">
        <v>1082</v>
      </c>
      <c r="F669" s="637">
        <v>2900</v>
      </c>
      <c r="G669" s="400">
        <v>0.33</v>
      </c>
      <c r="H669" s="382">
        <f t="shared" si="44"/>
        <v>0.412269</v>
      </c>
      <c r="I669" s="383">
        <f t="shared" si="45"/>
        <v>1195.58</v>
      </c>
    </row>
    <row r="670" spans="1:9" x14ac:dyDescent="0.2">
      <c r="A670" s="579" t="s">
        <v>1794</v>
      </c>
      <c r="B670" s="624" t="s">
        <v>320</v>
      </c>
      <c r="C670" s="596">
        <v>9832</v>
      </c>
      <c r="D670" s="701" t="s">
        <v>1740</v>
      </c>
      <c r="E670" s="398" t="s">
        <v>1082</v>
      </c>
      <c r="F670" s="637">
        <f>+F669</f>
        <v>2900</v>
      </c>
      <c r="G670" s="400">
        <v>1.19</v>
      </c>
      <c r="H670" s="382">
        <f t="shared" si="44"/>
        <v>1.486667</v>
      </c>
      <c r="I670" s="383">
        <f t="shared" si="45"/>
        <v>4311.33</v>
      </c>
    </row>
    <row r="671" spans="1:9" ht="28.5" x14ac:dyDescent="0.2">
      <c r="A671" s="579" t="s">
        <v>1795</v>
      </c>
      <c r="B671" s="624" t="s">
        <v>320</v>
      </c>
      <c r="C671" s="596">
        <v>7384</v>
      </c>
      <c r="D671" s="701" t="s">
        <v>1730</v>
      </c>
      <c r="E671" s="398" t="s">
        <v>473</v>
      </c>
      <c r="F671" s="637">
        <f>+F667</f>
        <v>96</v>
      </c>
      <c r="G671" s="400">
        <v>16.670000000000002</v>
      </c>
      <c r="H671" s="382">
        <f t="shared" si="44"/>
        <v>20.825831000000001</v>
      </c>
      <c r="I671" s="383">
        <f t="shared" si="45"/>
        <v>1999.28</v>
      </c>
    </row>
    <row r="672" spans="1:9" x14ac:dyDescent="0.2">
      <c r="A672" s="579" t="s">
        <v>1796</v>
      </c>
      <c r="B672" s="624" t="s">
        <v>320</v>
      </c>
      <c r="C672" s="596">
        <v>9668</v>
      </c>
      <c r="D672" s="701" t="s">
        <v>1743</v>
      </c>
      <c r="E672" s="398" t="s">
        <v>1082</v>
      </c>
      <c r="F672" s="637">
        <v>2060</v>
      </c>
      <c r="G672" s="400">
        <v>7.95</v>
      </c>
      <c r="H672" s="382">
        <f t="shared" si="44"/>
        <v>9.9319349999999993</v>
      </c>
      <c r="I672" s="383">
        <f t="shared" si="45"/>
        <v>20459.79</v>
      </c>
    </row>
    <row r="673" spans="1:9" x14ac:dyDescent="0.2">
      <c r="A673" s="579" t="s">
        <v>1797</v>
      </c>
      <c r="B673" s="624" t="s">
        <v>320</v>
      </c>
      <c r="C673" s="596">
        <v>9819</v>
      </c>
      <c r="D673" s="701" t="s">
        <v>1745</v>
      </c>
      <c r="E673" s="398" t="s">
        <v>1082</v>
      </c>
      <c r="F673" s="637">
        <v>993</v>
      </c>
      <c r="G673" s="400">
        <v>3</v>
      </c>
      <c r="H673" s="382">
        <f t="shared" si="44"/>
        <v>3.7479</v>
      </c>
      <c r="I673" s="383">
        <f t="shared" si="45"/>
        <v>3721.66</v>
      </c>
    </row>
    <row r="674" spans="1:9" ht="15.75" customHeight="1" x14ac:dyDescent="0.2">
      <c r="A674" s="579" t="s">
        <v>1798</v>
      </c>
      <c r="B674" s="624" t="s">
        <v>315</v>
      </c>
      <c r="C674" s="596">
        <v>92870</v>
      </c>
      <c r="D674" s="701" t="s">
        <v>1747</v>
      </c>
      <c r="E674" s="398" t="s">
        <v>1082</v>
      </c>
      <c r="F674" s="637">
        <v>86</v>
      </c>
      <c r="G674" s="400">
        <v>19.39</v>
      </c>
      <c r="H674" s="382">
        <f t="shared" si="44"/>
        <v>24.223927</v>
      </c>
      <c r="I674" s="383">
        <f t="shared" si="45"/>
        <v>2083.2600000000002</v>
      </c>
    </row>
    <row r="675" spans="1:9" x14ac:dyDescent="0.2">
      <c r="A675" s="579" t="s">
        <v>1799</v>
      </c>
      <c r="B675" s="624" t="s">
        <v>601</v>
      </c>
      <c r="C675" s="596" t="s">
        <v>1749</v>
      </c>
      <c r="D675" s="701" t="s">
        <v>1800</v>
      </c>
      <c r="E675" s="398" t="s">
        <v>1082</v>
      </c>
      <c r="F675" s="637">
        <v>86</v>
      </c>
      <c r="G675" s="400">
        <v>5.63</v>
      </c>
      <c r="H675" s="382">
        <f t="shared" si="44"/>
        <v>7.0335590000000003</v>
      </c>
      <c r="I675" s="383">
        <f t="shared" si="45"/>
        <v>604.89</v>
      </c>
    </row>
    <row r="676" spans="1:9" x14ac:dyDescent="0.2">
      <c r="A676" s="579" t="s">
        <v>1801</v>
      </c>
      <c r="B676" s="608" t="s">
        <v>601</v>
      </c>
      <c r="C676" s="596" t="s">
        <v>1802</v>
      </c>
      <c r="D676" s="576" t="s">
        <v>1803</v>
      </c>
      <c r="E676" s="398" t="s">
        <v>1082</v>
      </c>
      <c r="F676" s="637">
        <v>86</v>
      </c>
      <c r="G676" s="400">
        <v>751.4</v>
      </c>
      <c r="H676" s="382">
        <f t="shared" si="44"/>
        <v>938.72402</v>
      </c>
      <c r="I676" s="383">
        <f t="shared" si="45"/>
        <v>80730.27</v>
      </c>
    </row>
    <row r="677" spans="1:9" x14ac:dyDescent="0.2">
      <c r="A677" s="579" t="s">
        <v>1804</v>
      </c>
      <c r="B677" s="608" t="s">
        <v>601</v>
      </c>
      <c r="C677" s="596" t="s">
        <v>1805</v>
      </c>
      <c r="D677" s="576" t="s">
        <v>1806</v>
      </c>
      <c r="E677" s="398" t="s">
        <v>473</v>
      </c>
      <c r="F677" s="637">
        <v>2080</v>
      </c>
      <c r="G677" s="400">
        <v>8.34</v>
      </c>
      <c r="H677" s="382">
        <f t="shared" si="44"/>
        <v>10.419162</v>
      </c>
      <c r="I677" s="383">
        <f t="shared" si="45"/>
        <v>21671.86</v>
      </c>
    </row>
    <row r="678" spans="1:9" x14ac:dyDescent="0.2">
      <c r="A678" s="579" t="s">
        <v>1807</v>
      </c>
      <c r="B678" s="608" t="s">
        <v>320</v>
      </c>
      <c r="C678" s="596">
        <v>698</v>
      </c>
      <c r="D678" s="576" t="s">
        <v>1808</v>
      </c>
      <c r="E678" s="398" t="s">
        <v>1082</v>
      </c>
      <c r="F678" s="637">
        <v>2500</v>
      </c>
      <c r="G678" s="400">
        <v>0.55000000000000004</v>
      </c>
      <c r="H678" s="382">
        <f t="shared" si="44"/>
        <v>0.68711500000000003</v>
      </c>
      <c r="I678" s="383">
        <f t="shared" si="45"/>
        <v>1717.79</v>
      </c>
    </row>
    <row r="679" spans="1:9" x14ac:dyDescent="0.2">
      <c r="A679" s="579" t="s">
        <v>1809</v>
      </c>
      <c r="B679" s="608" t="s">
        <v>320</v>
      </c>
      <c r="C679" s="596">
        <v>8439</v>
      </c>
      <c r="D679" s="576" t="s">
        <v>1810</v>
      </c>
      <c r="E679" s="398" t="s">
        <v>1082</v>
      </c>
      <c r="F679" s="637">
        <v>2</v>
      </c>
      <c r="G679" s="400">
        <v>550.98</v>
      </c>
      <c r="H679" s="382">
        <f t="shared" si="44"/>
        <v>688.33931400000006</v>
      </c>
      <c r="I679" s="383">
        <f t="shared" si="45"/>
        <v>1376.68</v>
      </c>
    </row>
    <row r="680" spans="1:9" x14ac:dyDescent="0.25">
      <c r="A680" s="580" t="s">
        <v>1811</v>
      </c>
      <c r="B680" s="609"/>
      <c r="C680" s="598"/>
      <c r="D680" s="618" t="s">
        <v>1812</v>
      </c>
      <c r="E680" s="461"/>
      <c r="F680" s="568"/>
      <c r="G680" s="383"/>
      <c r="H680" s="382"/>
      <c r="I680" s="383"/>
    </row>
    <row r="681" spans="1:9" ht="28.5" customHeight="1" x14ac:dyDescent="0.2">
      <c r="A681" s="579" t="s">
        <v>1813</v>
      </c>
      <c r="B681" s="609" t="s">
        <v>315</v>
      </c>
      <c r="C681" s="596">
        <v>91864</v>
      </c>
      <c r="D681" s="576" t="s">
        <v>1702</v>
      </c>
      <c r="E681" s="398" t="s">
        <v>473</v>
      </c>
      <c r="F681" s="637">
        <v>510</v>
      </c>
      <c r="G681" s="400">
        <v>5.87</v>
      </c>
      <c r="H681" s="382">
        <f t="shared" ref="H681:H717" si="46">G681+(G681*$H$14)</f>
        <v>7.3333909999999998</v>
      </c>
      <c r="I681" s="383">
        <f t="shared" ref="I681:I717" si="47">ROUND(H681*F681,2)</f>
        <v>3740.03</v>
      </c>
    </row>
    <row r="682" spans="1:9" ht="28.5" customHeight="1" x14ac:dyDescent="0.2">
      <c r="A682" s="579" t="s">
        <v>1814</v>
      </c>
      <c r="B682" s="609" t="s">
        <v>315</v>
      </c>
      <c r="C682" s="596">
        <v>91170</v>
      </c>
      <c r="D682" s="576" t="s">
        <v>1704</v>
      </c>
      <c r="E682" s="398" t="s">
        <v>1082</v>
      </c>
      <c r="F682" s="637">
        <v>495</v>
      </c>
      <c r="G682" s="400">
        <v>1.97</v>
      </c>
      <c r="H682" s="382">
        <f t="shared" si="46"/>
        <v>2.4611209999999999</v>
      </c>
      <c r="I682" s="383">
        <f t="shared" si="47"/>
        <v>1218.25</v>
      </c>
    </row>
    <row r="683" spans="1:9" ht="28.5" customHeight="1" x14ac:dyDescent="0.2">
      <c r="A683" s="579" t="s">
        <v>1815</v>
      </c>
      <c r="B683" s="609" t="s">
        <v>315</v>
      </c>
      <c r="C683" s="596">
        <v>91893</v>
      </c>
      <c r="D683" s="576" t="s">
        <v>1706</v>
      </c>
      <c r="E683" s="398" t="s">
        <v>1082</v>
      </c>
      <c r="F683" s="637">
        <v>145</v>
      </c>
      <c r="G683" s="400">
        <v>8.64</v>
      </c>
      <c r="H683" s="382">
        <f t="shared" si="46"/>
        <v>10.793952000000001</v>
      </c>
      <c r="I683" s="383">
        <f t="shared" si="47"/>
        <v>1565.12</v>
      </c>
    </row>
    <row r="684" spans="1:9" ht="28.5" customHeight="1" x14ac:dyDescent="0.2">
      <c r="A684" s="579" t="s">
        <v>1816</v>
      </c>
      <c r="B684" s="609" t="s">
        <v>315</v>
      </c>
      <c r="C684" s="596">
        <v>91876</v>
      </c>
      <c r="D684" s="576" t="s">
        <v>1708</v>
      </c>
      <c r="E684" s="398" t="s">
        <v>1082</v>
      </c>
      <c r="F684" s="637">
        <v>280</v>
      </c>
      <c r="G684" s="400">
        <v>4.99</v>
      </c>
      <c r="H684" s="382">
        <f t="shared" si="46"/>
        <v>6.2340070000000001</v>
      </c>
      <c r="I684" s="383">
        <f t="shared" si="47"/>
        <v>1745.52</v>
      </c>
    </row>
    <row r="685" spans="1:9" x14ac:dyDescent="0.2">
      <c r="A685" s="579" t="s">
        <v>1817</v>
      </c>
      <c r="B685" s="609" t="s">
        <v>315</v>
      </c>
      <c r="C685" s="596">
        <v>84158</v>
      </c>
      <c r="D685" s="576" t="s">
        <v>1710</v>
      </c>
      <c r="E685" s="398" t="s">
        <v>1082</v>
      </c>
      <c r="F685" s="637">
        <v>301</v>
      </c>
      <c r="G685" s="400">
        <v>1.26</v>
      </c>
      <c r="H685" s="382">
        <f t="shared" si="46"/>
        <v>1.5741179999999999</v>
      </c>
      <c r="I685" s="383">
        <f t="shared" si="47"/>
        <v>473.81</v>
      </c>
    </row>
    <row r="686" spans="1:9" x14ac:dyDescent="0.2">
      <c r="A686" s="579" t="s">
        <v>1818</v>
      </c>
      <c r="B686" s="608" t="s">
        <v>601</v>
      </c>
      <c r="C686" s="596" t="s">
        <v>983</v>
      </c>
      <c r="D686" s="617" t="s">
        <v>1819</v>
      </c>
      <c r="E686" s="398" t="s">
        <v>473</v>
      </c>
      <c r="F686" s="637">
        <v>495</v>
      </c>
      <c r="G686" s="400">
        <v>82.27</v>
      </c>
      <c r="H686" s="382">
        <f t="shared" si="46"/>
        <v>102.779911</v>
      </c>
      <c r="I686" s="383">
        <f t="shared" si="47"/>
        <v>50876.06</v>
      </c>
    </row>
    <row r="687" spans="1:9" x14ac:dyDescent="0.2">
      <c r="A687" s="579" t="s">
        <v>1820</v>
      </c>
      <c r="B687" s="608" t="s">
        <v>320</v>
      </c>
      <c r="C687" s="596">
        <v>8687</v>
      </c>
      <c r="D687" s="617" t="s">
        <v>1821</v>
      </c>
      <c r="E687" s="398" t="s">
        <v>1082</v>
      </c>
      <c r="F687" s="637">
        <v>8</v>
      </c>
      <c r="G687" s="400">
        <v>37.270000000000003</v>
      </c>
      <c r="H687" s="382">
        <f t="shared" si="46"/>
        <v>46.561411000000007</v>
      </c>
      <c r="I687" s="383">
        <f t="shared" si="47"/>
        <v>372.49</v>
      </c>
    </row>
    <row r="688" spans="1:9" x14ac:dyDescent="0.2">
      <c r="A688" s="579" t="s">
        <v>1822</v>
      </c>
      <c r="B688" s="608" t="s">
        <v>320</v>
      </c>
      <c r="C688" s="596">
        <v>8688</v>
      </c>
      <c r="D688" s="576" t="s">
        <v>1823</v>
      </c>
      <c r="E688" s="398" t="s">
        <v>1082</v>
      </c>
      <c r="F688" s="637">
        <v>8</v>
      </c>
      <c r="G688" s="400">
        <v>27.8</v>
      </c>
      <c r="H688" s="382">
        <f t="shared" si="46"/>
        <v>34.730539999999998</v>
      </c>
      <c r="I688" s="383">
        <f t="shared" si="47"/>
        <v>277.83999999999997</v>
      </c>
    </row>
    <row r="689" spans="1:9" x14ac:dyDescent="0.2">
      <c r="A689" s="579" t="s">
        <v>1824</v>
      </c>
      <c r="B689" s="608" t="s">
        <v>320</v>
      </c>
      <c r="C689" s="596">
        <v>8701</v>
      </c>
      <c r="D689" s="576" t="s">
        <v>1825</v>
      </c>
      <c r="E689" s="398" t="s">
        <v>1082</v>
      </c>
      <c r="F689" s="637">
        <v>5</v>
      </c>
      <c r="G689" s="400">
        <v>46.46</v>
      </c>
      <c r="H689" s="382">
        <f t="shared" si="46"/>
        <v>58.042478000000003</v>
      </c>
      <c r="I689" s="383">
        <f t="shared" si="47"/>
        <v>290.20999999999998</v>
      </c>
    </row>
    <row r="690" spans="1:9" x14ac:dyDescent="0.2">
      <c r="A690" s="579" t="s">
        <v>1826</v>
      </c>
      <c r="B690" s="608" t="s">
        <v>320</v>
      </c>
      <c r="C690" s="596">
        <v>8221</v>
      </c>
      <c r="D690" s="576" t="s">
        <v>1720</v>
      </c>
      <c r="E690" s="398" t="s">
        <v>1082</v>
      </c>
      <c r="F690" s="637">
        <v>6</v>
      </c>
      <c r="G690" s="400">
        <v>24.34</v>
      </c>
      <c r="H690" s="382">
        <f t="shared" si="46"/>
        <v>30.407961999999998</v>
      </c>
      <c r="I690" s="383">
        <f t="shared" si="47"/>
        <v>182.45</v>
      </c>
    </row>
    <row r="691" spans="1:9" x14ac:dyDescent="0.2">
      <c r="A691" s="579" t="s">
        <v>1827</v>
      </c>
      <c r="B691" s="608" t="s">
        <v>320</v>
      </c>
      <c r="C691" s="596">
        <v>9533</v>
      </c>
      <c r="D691" s="576" t="s">
        <v>1722</v>
      </c>
      <c r="E691" s="398" t="s">
        <v>1082</v>
      </c>
      <c r="F691" s="637">
        <v>145</v>
      </c>
      <c r="G691" s="400">
        <v>12.3</v>
      </c>
      <c r="H691" s="382">
        <f t="shared" si="46"/>
        <v>15.366390000000001</v>
      </c>
      <c r="I691" s="383">
        <f t="shared" si="47"/>
        <v>2228.13</v>
      </c>
    </row>
    <row r="692" spans="1:9" x14ac:dyDescent="0.2">
      <c r="A692" s="579" t="s">
        <v>1828</v>
      </c>
      <c r="B692" s="608" t="s">
        <v>320</v>
      </c>
      <c r="C692" s="596">
        <v>7820</v>
      </c>
      <c r="D692" s="576" t="s">
        <v>1724</v>
      </c>
      <c r="E692" s="398" t="s">
        <v>1082</v>
      </c>
      <c r="F692" s="637">
        <v>532</v>
      </c>
      <c r="G692" s="400">
        <v>13.69</v>
      </c>
      <c r="H692" s="382">
        <f t="shared" si="46"/>
        <v>17.102916999999998</v>
      </c>
      <c r="I692" s="383">
        <f t="shared" si="47"/>
        <v>9098.75</v>
      </c>
    </row>
    <row r="693" spans="1:9" x14ac:dyDescent="0.2">
      <c r="A693" s="579" t="s">
        <v>1829</v>
      </c>
      <c r="B693" s="608" t="s">
        <v>320</v>
      </c>
      <c r="C693" s="596">
        <v>8695</v>
      </c>
      <c r="D693" s="576" t="s">
        <v>1830</v>
      </c>
      <c r="E693" s="398" t="s">
        <v>1082</v>
      </c>
      <c r="F693" s="638">
        <v>495</v>
      </c>
      <c r="G693" s="400">
        <v>9.15</v>
      </c>
      <c r="H693" s="382">
        <f t="shared" si="46"/>
        <v>11.431095000000001</v>
      </c>
      <c r="I693" s="383">
        <f t="shared" si="47"/>
        <v>5658.39</v>
      </c>
    </row>
    <row r="694" spans="1:9" x14ac:dyDescent="0.2">
      <c r="A694" s="579" t="s">
        <v>1831</v>
      </c>
      <c r="B694" s="608" t="s">
        <v>320</v>
      </c>
      <c r="C694" s="596">
        <v>9522</v>
      </c>
      <c r="D694" s="576" t="s">
        <v>1728</v>
      </c>
      <c r="E694" s="398" t="s">
        <v>1082</v>
      </c>
      <c r="F694" s="638">
        <v>495</v>
      </c>
      <c r="G694" s="400">
        <v>6.55</v>
      </c>
      <c r="H694" s="382">
        <f t="shared" si="46"/>
        <v>8.1829149999999995</v>
      </c>
      <c r="I694" s="383">
        <f t="shared" si="47"/>
        <v>4050.54</v>
      </c>
    </row>
    <row r="695" spans="1:9" x14ac:dyDescent="0.2">
      <c r="A695" s="579" t="s">
        <v>1832</v>
      </c>
      <c r="B695" s="608" t="s">
        <v>601</v>
      </c>
      <c r="C695" s="596" t="s">
        <v>1833</v>
      </c>
      <c r="D695" s="576" t="s">
        <v>1834</v>
      </c>
      <c r="E695" s="398" t="s">
        <v>473</v>
      </c>
      <c r="F695" s="637">
        <v>495</v>
      </c>
      <c r="G695" s="400">
        <v>49.94</v>
      </c>
      <c r="H695" s="382">
        <f t="shared" si="46"/>
        <v>62.390041999999994</v>
      </c>
      <c r="I695" s="383">
        <f t="shared" si="47"/>
        <v>30883.07</v>
      </c>
    </row>
    <row r="696" spans="1:9" x14ac:dyDescent="0.2">
      <c r="A696" s="579" t="s">
        <v>1835</v>
      </c>
      <c r="B696" s="608" t="s">
        <v>320</v>
      </c>
      <c r="C696" s="596">
        <v>8686</v>
      </c>
      <c r="D696" s="576" t="s">
        <v>1836</v>
      </c>
      <c r="E696" s="398" t="s">
        <v>1082</v>
      </c>
      <c r="F696" s="637">
        <v>7</v>
      </c>
      <c r="G696" s="400">
        <v>24.26</v>
      </c>
      <c r="H696" s="382">
        <f t="shared" si="46"/>
        <v>30.308018000000001</v>
      </c>
      <c r="I696" s="383">
        <f t="shared" si="47"/>
        <v>212.16</v>
      </c>
    </row>
    <row r="697" spans="1:9" x14ac:dyDescent="0.2">
      <c r="A697" s="579" t="s">
        <v>1837</v>
      </c>
      <c r="B697" s="608" t="s">
        <v>320</v>
      </c>
      <c r="C697" s="596">
        <v>8689</v>
      </c>
      <c r="D697" s="576" t="s">
        <v>1838</v>
      </c>
      <c r="E697" s="398" t="s">
        <v>1082</v>
      </c>
      <c r="F697" s="637">
        <v>9</v>
      </c>
      <c r="G697" s="400">
        <v>24.1</v>
      </c>
      <c r="H697" s="382">
        <f t="shared" si="46"/>
        <v>30.108130000000003</v>
      </c>
      <c r="I697" s="383">
        <f t="shared" si="47"/>
        <v>270.97000000000003</v>
      </c>
    </row>
    <row r="698" spans="1:9" x14ac:dyDescent="0.2">
      <c r="A698" s="579" t="s">
        <v>1839</v>
      </c>
      <c r="B698" s="608" t="s">
        <v>320</v>
      </c>
      <c r="C698" s="596">
        <v>7880</v>
      </c>
      <c r="D698" s="576" t="s">
        <v>1840</v>
      </c>
      <c r="E698" s="398" t="s">
        <v>1082</v>
      </c>
      <c r="F698" s="637">
        <v>5</v>
      </c>
      <c r="G698" s="400">
        <v>21.8</v>
      </c>
      <c r="H698" s="382">
        <f t="shared" si="46"/>
        <v>27.234740000000002</v>
      </c>
      <c r="I698" s="383">
        <f t="shared" si="47"/>
        <v>136.16999999999999</v>
      </c>
    </row>
    <row r="699" spans="1:9" x14ac:dyDescent="0.2">
      <c r="A699" s="579" t="s">
        <v>1841</v>
      </c>
      <c r="B699" s="608" t="s">
        <v>320</v>
      </c>
      <c r="C699" s="596">
        <v>8221</v>
      </c>
      <c r="D699" s="576" t="s">
        <v>1720</v>
      </c>
      <c r="E699" s="398" t="s">
        <v>1082</v>
      </c>
      <c r="F699" s="637">
        <v>4</v>
      </c>
      <c r="G699" s="400">
        <v>24.34</v>
      </c>
      <c r="H699" s="382">
        <f t="shared" si="46"/>
        <v>30.407961999999998</v>
      </c>
      <c r="I699" s="383">
        <f t="shared" si="47"/>
        <v>121.63</v>
      </c>
    </row>
    <row r="700" spans="1:9" x14ac:dyDescent="0.2">
      <c r="A700" s="579" t="s">
        <v>1842</v>
      </c>
      <c r="B700" s="608" t="s">
        <v>320</v>
      </c>
      <c r="C700" s="596">
        <v>9533</v>
      </c>
      <c r="D700" s="576" t="s">
        <v>1722</v>
      </c>
      <c r="E700" s="398" t="s">
        <v>1082</v>
      </c>
      <c r="F700" s="637">
        <v>270</v>
      </c>
      <c r="G700" s="400">
        <v>12.3</v>
      </c>
      <c r="H700" s="382">
        <f t="shared" si="46"/>
        <v>15.366390000000001</v>
      </c>
      <c r="I700" s="383">
        <f t="shared" si="47"/>
        <v>4148.93</v>
      </c>
    </row>
    <row r="701" spans="1:9" x14ac:dyDescent="0.2">
      <c r="A701" s="579" t="s">
        <v>1843</v>
      </c>
      <c r="B701" s="608" t="s">
        <v>320</v>
      </c>
      <c r="C701" s="596">
        <v>11405</v>
      </c>
      <c r="D701" s="576" t="s">
        <v>1844</v>
      </c>
      <c r="E701" s="398" t="s">
        <v>1082</v>
      </c>
      <c r="F701" s="637">
        <v>520</v>
      </c>
      <c r="G701" s="400">
        <v>6.9</v>
      </c>
      <c r="H701" s="382">
        <f t="shared" si="46"/>
        <v>8.6201699999999999</v>
      </c>
      <c r="I701" s="383">
        <f t="shared" si="47"/>
        <v>4482.49</v>
      </c>
    </row>
    <row r="702" spans="1:9" x14ac:dyDescent="0.2">
      <c r="A702" s="579" t="s">
        <v>1845</v>
      </c>
      <c r="B702" s="608" t="s">
        <v>320</v>
      </c>
      <c r="C702" s="596">
        <v>7881</v>
      </c>
      <c r="D702" s="576" t="s">
        <v>1846</v>
      </c>
      <c r="E702" s="398" t="s">
        <v>1082</v>
      </c>
      <c r="F702" s="638">
        <f>+F695</f>
        <v>495</v>
      </c>
      <c r="G702" s="400">
        <v>7.19</v>
      </c>
      <c r="H702" s="382">
        <f t="shared" si="46"/>
        <v>8.9824669999999998</v>
      </c>
      <c r="I702" s="383">
        <f t="shared" si="47"/>
        <v>4446.32</v>
      </c>
    </row>
    <row r="703" spans="1:9" x14ac:dyDescent="0.2">
      <c r="A703" s="579" t="s">
        <v>1847</v>
      </c>
      <c r="B703" s="608" t="s">
        <v>320</v>
      </c>
      <c r="C703" s="596">
        <v>9522</v>
      </c>
      <c r="D703" s="576" t="s">
        <v>1728</v>
      </c>
      <c r="E703" s="398" t="s">
        <v>1082</v>
      </c>
      <c r="F703" s="638">
        <f>+F695</f>
        <v>495</v>
      </c>
      <c r="G703" s="400">
        <v>6.55</v>
      </c>
      <c r="H703" s="382">
        <f t="shared" si="46"/>
        <v>8.1829149999999995</v>
      </c>
      <c r="I703" s="383">
        <f t="shared" si="47"/>
        <v>4050.54</v>
      </c>
    </row>
    <row r="704" spans="1:9" ht="28.5" x14ac:dyDescent="0.2">
      <c r="A704" s="579" t="s">
        <v>1848</v>
      </c>
      <c r="B704" s="624" t="s">
        <v>320</v>
      </c>
      <c r="C704" s="596">
        <v>7384</v>
      </c>
      <c r="D704" s="701" t="s">
        <v>1730</v>
      </c>
      <c r="E704" s="398" t="s">
        <v>473</v>
      </c>
      <c r="F704" s="637">
        <f>+F686+F695</f>
        <v>990</v>
      </c>
      <c r="G704" s="400">
        <v>16.670000000000002</v>
      </c>
      <c r="H704" s="382">
        <f t="shared" si="46"/>
        <v>20.825831000000001</v>
      </c>
      <c r="I704" s="383">
        <f t="shared" si="47"/>
        <v>20617.57</v>
      </c>
    </row>
    <row r="705" spans="1:9" x14ac:dyDescent="0.2">
      <c r="A705" s="579" t="s">
        <v>1849</v>
      </c>
      <c r="B705" s="624" t="s">
        <v>601</v>
      </c>
      <c r="C705" s="596" t="s">
        <v>1732</v>
      </c>
      <c r="D705" s="701" t="s">
        <v>1733</v>
      </c>
      <c r="E705" s="398" t="s">
        <v>473</v>
      </c>
      <c r="F705" s="637">
        <v>150</v>
      </c>
      <c r="G705" s="400">
        <v>33.22</v>
      </c>
      <c r="H705" s="382">
        <f t="shared" si="46"/>
        <v>41.501745999999997</v>
      </c>
      <c r="I705" s="383">
        <f t="shared" si="47"/>
        <v>6225.26</v>
      </c>
    </row>
    <row r="706" spans="1:9" x14ac:dyDescent="0.2">
      <c r="A706" s="579" t="s">
        <v>1850</v>
      </c>
      <c r="B706" s="624" t="s">
        <v>601</v>
      </c>
      <c r="C706" s="596" t="s">
        <v>1735</v>
      </c>
      <c r="D706" s="717" t="s">
        <v>1736</v>
      </c>
      <c r="E706" s="398" t="s">
        <v>1082</v>
      </c>
      <c r="F706" s="637">
        <v>30</v>
      </c>
      <c r="G706" s="400">
        <v>28.36</v>
      </c>
      <c r="H706" s="382">
        <f t="shared" si="46"/>
        <v>35.430148000000003</v>
      </c>
      <c r="I706" s="383">
        <f t="shared" si="47"/>
        <v>1062.9000000000001</v>
      </c>
    </row>
    <row r="707" spans="1:9" x14ac:dyDescent="0.2">
      <c r="A707" s="579" t="s">
        <v>1851</v>
      </c>
      <c r="B707" s="624" t="s">
        <v>320</v>
      </c>
      <c r="C707" s="596">
        <v>9816</v>
      </c>
      <c r="D707" s="701" t="s">
        <v>1738</v>
      </c>
      <c r="E707" s="398" t="s">
        <v>1082</v>
      </c>
      <c r="F707" s="637">
        <v>7680</v>
      </c>
      <c r="G707" s="400">
        <v>0.33</v>
      </c>
      <c r="H707" s="382">
        <f t="shared" si="46"/>
        <v>0.412269</v>
      </c>
      <c r="I707" s="383">
        <f t="shared" si="47"/>
        <v>3166.23</v>
      </c>
    </row>
    <row r="708" spans="1:9" x14ac:dyDescent="0.2">
      <c r="A708" s="579" t="s">
        <v>1852</v>
      </c>
      <c r="B708" s="624" t="s">
        <v>320</v>
      </c>
      <c r="C708" s="596">
        <v>9832</v>
      </c>
      <c r="D708" s="701" t="s">
        <v>1740</v>
      </c>
      <c r="E708" s="398" t="s">
        <v>1082</v>
      </c>
      <c r="F708" s="637">
        <v>7680</v>
      </c>
      <c r="G708" s="400">
        <v>1.19</v>
      </c>
      <c r="H708" s="382">
        <f t="shared" si="46"/>
        <v>1.486667</v>
      </c>
      <c r="I708" s="383">
        <f t="shared" si="47"/>
        <v>11417.6</v>
      </c>
    </row>
    <row r="709" spans="1:9" ht="29.25" customHeight="1" x14ac:dyDescent="0.2">
      <c r="A709" s="579" t="s">
        <v>1853</v>
      </c>
      <c r="B709" s="624" t="s">
        <v>320</v>
      </c>
      <c r="C709" s="596">
        <v>7384</v>
      </c>
      <c r="D709" s="701" t="s">
        <v>1730</v>
      </c>
      <c r="E709" s="398" t="s">
        <v>473</v>
      </c>
      <c r="F709" s="637">
        <f>+F705</f>
        <v>150</v>
      </c>
      <c r="G709" s="400">
        <v>16.670000000000002</v>
      </c>
      <c r="H709" s="382">
        <f t="shared" si="46"/>
        <v>20.825831000000001</v>
      </c>
      <c r="I709" s="383">
        <f t="shared" si="47"/>
        <v>3123.87</v>
      </c>
    </row>
    <row r="710" spans="1:9" x14ac:dyDescent="0.2">
      <c r="A710" s="579" t="s">
        <v>1854</v>
      </c>
      <c r="B710" s="624" t="s">
        <v>320</v>
      </c>
      <c r="C710" s="596">
        <v>9668</v>
      </c>
      <c r="D710" s="701" t="s">
        <v>1743</v>
      </c>
      <c r="E710" s="398" t="s">
        <v>1082</v>
      </c>
      <c r="F710" s="637">
        <v>1920</v>
      </c>
      <c r="G710" s="400">
        <v>7.95</v>
      </c>
      <c r="H710" s="382">
        <f t="shared" si="46"/>
        <v>9.9319349999999993</v>
      </c>
      <c r="I710" s="383">
        <f t="shared" si="47"/>
        <v>19069.32</v>
      </c>
    </row>
    <row r="711" spans="1:9" x14ac:dyDescent="0.2">
      <c r="A711" s="579" t="s">
        <v>1855</v>
      </c>
      <c r="B711" s="624" t="s">
        <v>320</v>
      </c>
      <c r="C711" s="596">
        <v>9819</v>
      </c>
      <c r="D711" s="701" t="s">
        <v>1745</v>
      </c>
      <c r="E711" s="398" t="s">
        <v>1082</v>
      </c>
      <c r="F711" s="637">
        <v>2415</v>
      </c>
      <c r="G711" s="400">
        <v>3</v>
      </c>
      <c r="H711" s="382">
        <f t="shared" si="46"/>
        <v>3.7479</v>
      </c>
      <c r="I711" s="383">
        <f t="shared" si="47"/>
        <v>9051.18</v>
      </c>
    </row>
    <row r="712" spans="1:9" x14ac:dyDescent="0.2">
      <c r="A712" s="579" t="s">
        <v>1856</v>
      </c>
      <c r="B712" s="624" t="s">
        <v>601</v>
      </c>
      <c r="C712" s="596" t="s">
        <v>1857</v>
      </c>
      <c r="D712" s="701" t="s">
        <v>1858</v>
      </c>
      <c r="E712" s="398" t="s">
        <v>1082</v>
      </c>
      <c r="F712" s="637">
        <v>26</v>
      </c>
      <c r="G712" s="400">
        <v>21.52</v>
      </c>
      <c r="H712" s="382">
        <f t="shared" si="46"/>
        <v>26.884936</v>
      </c>
      <c r="I712" s="383">
        <f t="shared" si="47"/>
        <v>699.01</v>
      </c>
    </row>
    <row r="713" spans="1:9" ht="32.25" customHeight="1" x14ac:dyDescent="0.2">
      <c r="A713" s="579" t="s">
        <v>1859</v>
      </c>
      <c r="B713" s="609" t="s">
        <v>315</v>
      </c>
      <c r="C713" s="596">
        <v>92872</v>
      </c>
      <c r="D713" s="576" t="s">
        <v>1767</v>
      </c>
      <c r="E713" s="398" t="s">
        <v>1082</v>
      </c>
      <c r="F713" s="637">
        <v>26</v>
      </c>
      <c r="G713" s="400">
        <v>7.44</v>
      </c>
      <c r="H713" s="382">
        <f t="shared" si="46"/>
        <v>9.2947920000000011</v>
      </c>
      <c r="I713" s="383">
        <f t="shared" si="47"/>
        <v>241.66</v>
      </c>
    </row>
    <row r="714" spans="1:9" ht="33.75" customHeight="1" x14ac:dyDescent="0.2">
      <c r="A714" s="579" t="s">
        <v>1860</v>
      </c>
      <c r="B714" s="609" t="s">
        <v>315</v>
      </c>
      <c r="C714" s="596">
        <v>92872</v>
      </c>
      <c r="D714" s="576" t="s">
        <v>1767</v>
      </c>
      <c r="E714" s="398" t="s">
        <v>1082</v>
      </c>
      <c r="F714" s="637">
        <v>22</v>
      </c>
      <c r="G714" s="400">
        <v>7.44</v>
      </c>
      <c r="H714" s="382">
        <f t="shared" si="46"/>
        <v>9.2947920000000011</v>
      </c>
      <c r="I714" s="383">
        <f t="shared" si="47"/>
        <v>204.49</v>
      </c>
    </row>
    <row r="715" spans="1:9" x14ac:dyDescent="0.2">
      <c r="A715" s="579" t="s">
        <v>1861</v>
      </c>
      <c r="B715" s="608" t="s">
        <v>601</v>
      </c>
      <c r="C715" s="596" t="s">
        <v>1749</v>
      </c>
      <c r="D715" s="576" t="s">
        <v>1769</v>
      </c>
      <c r="E715" s="398" t="s">
        <v>1082</v>
      </c>
      <c r="F715" s="637">
        <v>22</v>
      </c>
      <c r="G715" s="400">
        <v>5.63</v>
      </c>
      <c r="H715" s="382">
        <f t="shared" si="46"/>
        <v>7.0335590000000003</v>
      </c>
      <c r="I715" s="383">
        <f t="shared" si="47"/>
        <v>154.74</v>
      </c>
    </row>
    <row r="716" spans="1:9" x14ac:dyDescent="0.2">
      <c r="A716" s="579" t="s">
        <v>1862</v>
      </c>
      <c r="B716" s="608" t="s">
        <v>601</v>
      </c>
      <c r="C716" s="596" t="s">
        <v>1805</v>
      </c>
      <c r="D716" s="576" t="s">
        <v>1806</v>
      </c>
      <c r="E716" s="398" t="s">
        <v>473</v>
      </c>
      <c r="F716" s="637">
        <v>7400</v>
      </c>
      <c r="G716" s="400">
        <v>8.34</v>
      </c>
      <c r="H716" s="382">
        <f t="shared" si="46"/>
        <v>10.419162</v>
      </c>
      <c r="I716" s="383">
        <f t="shared" si="47"/>
        <v>77101.8</v>
      </c>
    </row>
    <row r="717" spans="1:9" x14ac:dyDescent="0.2">
      <c r="A717" s="579" t="s">
        <v>1863</v>
      </c>
      <c r="B717" s="608" t="s">
        <v>320</v>
      </c>
      <c r="C717" s="596">
        <v>698</v>
      </c>
      <c r="D717" s="576" t="s">
        <v>1808</v>
      </c>
      <c r="E717" s="398" t="s">
        <v>1082</v>
      </c>
      <c r="F717" s="637">
        <v>2000</v>
      </c>
      <c r="G717" s="400">
        <v>0.55000000000000004</v>
      </c>
      <c r="H717" s="382">
        <f t="shared" si="46"/>
        <v>0.68711500000000003</v>
      </c>
      <c r="I717" s="383">
        <f t="shared" si="47"/>
        <v>1374.23</v>
      </c>
    </row>
    <row r="718" spans="1:9" x14ac:dyDescent="0.25">
      <c r="A718" s="580" t="s">
        <v>1864</v>
      </c>
      <c r="B718" s="609"/>
      <c r="C718" s="598"/>
      <c r="D718" s="618" t="s">
        <v>1865</v>
      </c>
      <c r="E718" s="461"/>
      <c r="F718" s="568"/>
      <c r="G718" s="383"/>
      <c r="H718" s="382"/>
      <c r="I718" s="383"/>
    </row>
    <row r="719" spans="1:9" ht="28.5" customHeight="1" x14ac:dyDescent="0.2">
      <c r="A719" s="579" t="s">
        <v>1866</v>
      </c>
      <c r="B719" s="609" t="s">
        <v>315</v>
      </c>
      <c r="C719" s="596">
        <v>91864</v>
      </c>
      <c r="D719" s="576" t="s">
        <v>1702</v>
      </c>
      <c r="E719" s="398" t="s">
        <v>473</v>
      </c>
      <c r="F719" s="637">
        <v>2565</v>
      </c>
      <c r="G719" s="400">
        <v>5.87</v>
      </c>
      <c r="H719" s="382">
        <f t="shared" ref="H719:H753" si="48">G719+(G719*$H$14)</f>
        <v>7.3333909999999998</v>
      </c>
      <c r="I719" s="383">
        <f t="shared" ref="I719:I753" si="49">ROUND(H719*F719,2)</f>
        <v>18810.150000000001</v>
      </c>
    </row>
    <row r="720" spans="1:9" ht="28.5" customHeight="1" x14ac:dyDescent="0.2">
      <c r="A720" s="579" t="s">
        <v>1867</v>
      </c>
      <c r="B720" s="609" t="s">
        <v>315</v>
      </c>
      <c r="C720" s="596">
        <v>91865</v>
      </c>
      <c r="D720" s="576" t="s">
        <v>1868</v>
      </c>
      <c r="E720" s="398" t="s">
        <v>473</v>
      </c>
      <c r="F720" s="637">
        <v>273</v>
      </c>
      <c r="G720" s="400">
        <v>7.62</v>
      </c>
      <c r="H720" s="382">
        <f t="shared" si="48"/>
        <v>9.5196660000000008</v>
      </c>
      <c r="I720" s="383">
        <f t="shared" si="49"/>
        <v>2598.87</v>
      </c>
    </row>
    <row r="721" spans="1:9" ht="28.5" customHeight="1" x14ac:dyDescent="0.2">
      <c r="A721" s="579" t="s">
        <v>1869</v>
      </c>
      <c r="B721" s="609" t="s">
        <v>315</v>
      </c>
      <c r="C721" s="596">
        <v>91170</v>
      </c>
      <c r="D721" s="576" t="s">
        <v>1704</v>
      </c>
      <c r="E721" s="398" t="s">
        <v>1082</v>
      </c>
      <c r="F721" s="637">
        <v>2615</v>
      </c>
      <c r="G721" s="400">
        <v>1.97</v>
      </c>
      <c r="H721" s="382">
        <f t="shared" si="48"/>
        <v>2.4611209999999999</v>
      </c>
      <c r="I721" s="383">
        <f t="shared" si="49"/>
        <v>6435.83</v>
      </c>
    </row>
    <row r="722" spans="1:9" ht="28.5" customHeight="1" x14ac:dyDescent="0.2">
      <c r="A722" s="579" t="s">
        <v>1870</v>
      </c>
      <c r="B722" s="609" t="s">
        <v>315</v>
      </c>
      <c r="C722" s="596">
        <v>91171</v>
      </c>
      <c r="D722" s="576" t="s">
        <v>1871</v>
      </c>
      <c r="E722" s="398" t="s">
        <v>1082</v>
      </c>
      <c r="F722" s="637">
        <v>290</v>
      </c>
      <c r="G722" s="400">
        <v>2.48</v>
      </c>
      <c r="H722" s="382">
        <f t="shared" si="48"/>
        <v>3.0982639999999999</v>
      </c>
      <c r="I722" s="383">
        <f t="shared" si="49"/>
        <v>898.5</v>
      </c>
    </row>
    <row r="723" spans="1:9" ht="28.5" customHeight="1" x14ac:dyDescent="0.2">
      <c r="A723" s="579" t="s">
        <v>1872</v>
      </c>
      <c r="B723" s="609" t="s">
        <v>315</v>
      </c>
      <c r="C723" s="596">
        <v>91836</v>
      </c>
      <c r="D723" s="576" t="s">
        <v>1873</v>
      </c>
      <c r="E723" s="398" t="s">
        <v>473</v>
      </c>
      <c r="F723" s="637">
        <v>151</v>
      </c>
      <c r="G723" s="400">
        <v>4.32</v>
      </c>
      <c r="H723" s="382">
        <f t="shared" si="48"/>
        <v>5.3969760000000004</v>
      </c>
      <c r="I723" s="383">
        <f t="shared" si="49"/>
        <v>814.94</v>
      </c>
    </row>
    <row r="724" spans="1:9" ht="28.5" customHeight="1" x14ac:dyDescent="0.2">
      <c r="A724" s="579" t="s">
        <v>1874</v>
      </c>
      <c r="B724" s="609" t="s">
        <v>315</v>
      </c>
      <c r="C724" s="596">
        <v>91893</v>
      </c>
      <c r="D724" s="576" t="s">
        <v>1706</v>
      </c>
      <c r="E724" s="398" t="s">
        <v>1082</v>
      </c>
      <c r="F724" s="637">
        <v>210</v>
      </c>
      <c r="G724" s="400">
        <v>8.64</v>
      </c>
      <c r="H724" s="382">
        <f t="shared" si="48"/>
        <v>10.793952000000001</v>
      </c>
      <c r="I724" s="383">
        <f t="shared" si="49"/>
        <v>2266.73</v>
      </c>
    </row>
    <row r="725" spans="1:9" ht="28.5" customHeight="1" x14ac:dyDescent="0.2">
      <c r="A725" s="579" t="s">
        <v>1875</v>
      </c>
      <c r="B725" s="609" t="s">
        <v>315</v>
      </c>
      <c r="C725" s="596">
        <v>91876</v>
      </c>
      <c r="D725" s="576" t="s">
        <v>1708</v>
      </c>
      <c r="E725" s="398" t="s">
        <v>1082</v>
      </c>
      <c r="F725" s="637">
        <v>420</v>
      </c>
      <c r="G725" s="400">
        <v>4.99</v>
      </c>
      <c r="H725" s="382">
        <f t="shared" si="48"/>
        <v>6.2340070000000001</v>
      </c>
      <c r="I725" s="383">
        <f t="shared" si="49"/>
        <v>2618.2800000000002</v>
      </c>
    </row>
    <row r="726" spans="1:9" x14ac:dyDescent="0.2">
      <c r="A726" s="579" t="s">
        <v>1876</v>
      </c>
      <c r="B726" s="609" t="s">
        <v>315</v>
      </c>
      <c r="C726" s="596">
        <v>84158</v>
      </c>
      <c r="D726" s="576" t="s">
        <v>1710</v>
      </c>
      <c r="E726" s="398" t="s">
        <v>1082</v>
      </c>
      <c r="F726" s="637">
        <v>635</v>
      </c>
      <c r="G726" s="400">
        <v>1.26</v>
      </c>
      <c r="H726" s="382">
        <f t="shared" si="48"/>
        <v>1.5741179999999999</v>
      </c>
      <c r="I726" s="383">
        <f t="shared" si="49"/>
        <v>999.56</v>
      </c>
    </row>
    <row r="727" spans="1:9" x14ac:dyDescent="0.2">
      <c r="A727" s="579" t="s">
        <v>1877</v>
      </c>
      <c r="B727" s="609" t="s">
        <v>315</v>
      </c>
      <c r="C727" s="596">
        <v>84159</v>
      </c>
      <c r="D727" s="576" t="s">
        <v>1878</v>
      </c>
      <c r="E727" s="398" t="s">
        <v>1082</v>
      </c>
      <c r="F727" s="637">
        <v>97</v>
      </c>
      <c r="G727" s="400">
        <v>2.42</v>
      </c>
      <c r="H727" s="382">
        <f t="shared" si="48"/>
        <v>3.0233059999999998</v>
      </c>
      <c r="I727" s="383">
        <f t="shared" si="49"/>
        <v>293.26</v>
      </c>
    </row>
    <row r="728" spans="1:9" x14ac:dyDescent="0.2">
      <c r="A728" s="579" t="s">
        <v>1879</v>
      </c>
      <c r="B728" s="608" t="s">
        <v>601</v>
      </c>
      <c r="C728" s="596" t="s">
        <v>983</v>
      </c>
      <c r="D728" s="617" t="s">
        <v>1819</v>
      </c>
      <c r="E728" s="398" t="s">
        <v>473</v>
      </c>
      <c r="F728" s="637">
        <v>576</v>
      </c>
      <c r="G728" s="400">
        <v>82.27</v>
      </c>
      <c r="H728" s="382">
        <f t="shared" si="48"/>
        <v>102.779911</v>
      </c>
      <c r="I728" s="383">
        <f t="shared" si="49"/>
        <v>59201.23</v>
      </c>
    </row>
    <row r="729" spans="1:9" x14ac:dyDescent="0.2">
      <c r="A729" s="579" t="s">
        <v>1880</v>
      </c>
      <c r="B729" s="608" t="s">
        <v>320</v>
      </c>
      <c r="C729" s="596">
        <v>8687</v>
      </c>
      <c r="D729" s="617" t="s">
        <v>1821</v>
      </c>
      <c r="E729" s="398" t="s">
        <v>1082</v>
      </c>
      <c r="F729" s="637">
        <v>11</v>
      </c>
      <c r="G729" s="400">
        <v>37.270000000000003</v>
      </c>
      <c r="H729" s="382">
        <f t="shared" si="48"/>
        <v>46.561411000000007</v>
      </c>
      <c r="I729" s="383">
        <f t="shared" si="49"/>
        <v>512.17999999999995</v>
      </c>
    </row>
    <row r="730" spans="1:9" x14ac:dyDescent="0.2">
      <c r="A730" s="579" t="s">
        <v>1881</v>
      </c>
      <c r="B730" s="608" t="s">
        <v>320</v>
      </c>
      <c r="C730" s="596">
        <v>8688</v>
      </c>
      <c r="D730" s="576" t="s">
        <v>1823</v>
      </c>
      <c r="E730" s="398" t="s">
        <v>1082</v>
      </c>
      <c r="F730" s="637">
        <v>7</v>
      </c>
      <c r="G730" s="400">
        <v>27.8</v>
      </c>
      <c r="H730" s="382">
        <f t="shared" si="48"/>
        <v>34.730539999999998</v>
      </c>
      <c r="I730" s="383">
        <f t="shared" si="49"/>
        <v>243.11</v>
      </c>
    </row>
    <row r="731" spans="1:9" x14ac:dyDescent="0.2">
      <c r="A731" s="579" t="s">
        <v>1882</v>
      </c>
      <c r="B731" s="608" t="s">
        <v>320</v>
      </c>
      <c r="C731" s="596">
        <v>8701</v>
      </c>
      <c r="D731" s="576" t="s">
        <v>1825</v>
      </c>
      <c r="E731" s="398" t="s">
        <v>1082</v>
      </c>
      <c r="F731" s="637">
        <v>4</v>
      </c>
      <c r="G731" s="400">
        <v>46.46</v>
      </c>
      <c r="H731" s="382">
        <f t="shared" si="48"/>
        <v>58.042478000000003</v>
      </c>
      <c r="I731" s="383">
        <f t="shared" si="49"/>
        <v>232.17</v>
      </c>
    </row>
    <row r="732" spans="1:9" x14ac:dyDescent="0.2">
      <c r="A732" s="579" t="s">
        <v>1883</v>
      </c>
      <c r="B732" s="608" t="s">
        <v>320</v>
      </c>
      <c r="C732" s="596">
        <v>8221</v>
      </c>
      <c r="D732" s="576" t="s">
        <v>1720</v>
      </c>
      <c r="E732" s="398" t="s">
        <v>1082</v>
      </c>
      <c r="F732" s="637">
        <v>4</v>
      </c>
      <c r="G732" s="400">
        <v>24.34</v>
      </c>
      <c r="H732" s="382">
        <f t="shared" si="48"/>
        <v>30.407961999999998</v>
      </c>
      <c r="I732" s="383">
        <f t="shared" si="49"/>
        <v>121.63</v>
      </c>
    </row>
    <row r="733" spans="1:9" x14ac:dyDescent="0.2">
      <c r="A733" s="579" t="s">
        <v>1884</v>
      </c>
      <c r="B733" s="608" t="s">
        <v>320</v>
      </c>
      <c r="C733" s="596">
        <v>9533</v>
      </c>
      <c r="D733" s="576" t="s">
        <v>1722</v>
      </c>
      <c r="E733" s="398" t="s">
        <v>1082</v>
      </c>
      <c r="F733" s="637">
        <v>215</v>
      </c>
      <c r="G733" s="400">
        <v>12.3</v>
      </c>
      <c r="H733" s="382">
        <f t="shared" si="48"/>
        <v>15.366390000000001</v>
      </c>
      <c r="I733" s="383">
        <f t="shared" si="49"/>
        <v>3303.77</v>
      </c>
    </row>
    <row r="734" spans="1:9" x14ac:dyDescent="0.2">
      <c r="A734" s="579" t="s">
        <v>1885</v>
      </c>
      <c r="B734" s="608" t="s">
        <v>320</v>
      </c>
      <c r="C734" s="596">
        <v>9533</v>
      </c>
      <c r="D734" s="617" t="s">
        <v>1886</v>
      </c>
      <c r="E734" s="398" t="s">
        <v>1082</v>
      </c>
      <c r="F734" s="637">
        <v>35</v>
      </c>
      <c r="G734" s="400">
        <v>12.3</v>
      </c>
      <c r="H734" s="382">
        <f t="shared" si="48"/>
        <v>15.366390000000001</v>
      </c>
      <c r="I734" s="383">
        <f t="shared" si="49"/>
        <v>537.82000000000005</v>
      </c>
    </row>
    <row r="735" spans="1:9" x14ac:dyDescent="0.2">
      <c r="A735" s="579" t="s">
        <v>1887</v>
      </c>
      <c r="B735" s="608" t="s">
        <v>320</v>
      </c>
      <c r="C735" s="596">
        <v>7820</v>
      </c>
      <c r="D735" s="576" t="s">
        <v>1724</v>
      </c>
      <c r="E735" s="398" t="s">
        <v>1082</v>
      </c>
      <c r="F735" s="637">
        <f>(+F728+F729+F730+F731+F732)</f>
        <v>602</v>
      </c>
      <c r="G735" s="400">
        <v>13.69</v>
      </c>
      <c r="H735" s="382">
        <f t="shared" si="48"/>
        <v>17.102916999999998</v>
      </c>
      <c r="I735" s="383">
        <f t="shared" si="49"/>
        <v>10295.959999999999</v>
      </c>
    </row>
    <row r="736" spans="1:9" x14ac:dyDescent="0.2">
      <c r="A736" s="579" t="s">
        <v>1888</v>
      </c>
      <c r="B736" s="608" t="s">
        <v>320</v>
      </c>
      <c r="C736" s="596">
        <v>8695</v>
      </c>
      <c r="D736" s="576" t="s">
        <v>1830</v>
      </c>
      <c r="E736" s="398" t="s">
        <v>1082</v>
      </c>
      <c r="F736" s="638">
        <f>+F728</f>
        <v>576</v>
      </c>
      <c r="G736" s="400">
        <v>9.15</v>
      </c>
      <c r="H736" s="382">
        <f t="shared" si="48"/>
        <v>11.431095000000001</v>
      </c>
      <c r="I736" s="383">
        <f t="shared" si="49"/>
        <v>6584.31</v>
      </c>
    </row>
    <row r="737" spans="1:9" x14ac:dyDescent="0.2">
      <c r="A737" s="579" t="s">
        <v>1889</v>
      </c>
      <c r="B737" s="608" t="s">
        <v>320</v>
      </c>
      <c r="C737" s="596">
        <v>9522</v>
      </c>
      <c r="D737" s="576" t="s">
        <v>1728</v>
      </c>
      <c r="E737" s="398" t="s">
        <v>1082</v>
      </c>
      <c r="F737" s="638">
        <f>+F728</f>
        <v>576</v>
      </c>
      <c r="G737" s="400">
        <v>6.55</v>
      </c>
      <c r="H737" s="382">
        <f t="shared" si="48"/>
        <v>8.1829149999999995</v>
      </c>
      <c r="I737" s="383">
        <f t="shared" si="49"/>
        <v>4713.3599999999997</v>
      </c>
    </row>
    <row r="738" spans="1:9" ht="33.75" customHeight="1" x14ac:dyDescent="0.2">
      <c r="A738" s="579" t="s">
        <v>1890</v>
      </c>
      <c r="B738" s="624" t="s">
        <v>320</v>
      </c>
      <c r="C738" s="596">
        <v>7384</v>
      </c>
      <c r="D738" s="701" t="s">
        <v>1730</v>
      </c>
      <c r="E738" s="398" t="s">
        <v>473</v>
      </c>
      <c r="F738" s="637">
        <f>+F728</f>
        <v>576</v>
      </c>
      <c r="G738" s="400">
        <v>16.670000000000002</v>
      </c>
      <c r="H738" s="382">
        <f t="shared" si="48"/>
        <v>20.825831000000001</v>
      </c>
      <c r="I738" s="383">
        <f t="shared" si="49"/>
        <v>11995.68</v>
      </c>
    </row>
    <row r="739" spans="1:9" x14ac:dyDescent="0.2">
      <c r="A739" s="579" t="s">
        <v>1891</v>
      </c>
      <c r="B739" s="624" t="s">
        <v>601</v>
      </c>
      <c r="C739" s="596" t="s">
        <v>1732</v>
      </c>
      <c r="D739" s="701" t="s">
        <v>1733</v>
      </c>
      <c r="E739" s="398" t="s">
        <v>473</v>
      </c>
      <c r="F739" s="637">
        <v>90</v>
      </c>
      <c r="G739" s="400">
        <v>33.22</v>
      </c>
      <c r="H739" s="382">
        <f t="shared" si="48"/>
        <v>41.501745999999997</v>
      </c>
      <c r="I739" s="383">
        <f t="shared" si="49"/>
        <v>3735.16</v>
      </c>
    </row>
    <row r="740" spans="1:9" x14ac:dyDescent="0.2">
      <c r="A740" s="579" t="s">
        <v>1892</v>
      </c>
      <c r="B740" s="624" t="s">
        <v>601</v>
      </c>
      <c r="C740" s="596" t="s">
        <v>1735</v>
      </c>
      <c r="D740" s="717" t="s">
        <v>1736</v>
      </c>
      <c r="E740" s="398" t="s">
        <v>1082</v>
      </c>
      <c r="F740" s="637">
        <v>215</v>
      </c>
      <c r="G740" s="400">
        <v>28.36</v>
      </c>
      <c r="H740" s="382">
        <f t="shared" si="48"/>
        <v>35.430148000000003</v>
      </c>
      <c r="I740" s="383">
        <f t="shared" si="49"/>
        <v>7617.48</v>
      </c>
    </row>
    <row r="741" spans="1:9" x14ac:dyDescent="0.2">
      <c r="A741" s="579" t="s">
        <v>1893</v>
      </c>
      <c r="B741" s="624" t="s">
        <v>601</v>
      </c>
      <c r="C741" s="596" t="s">
        <v>1735</v>
      </c>
      <c r="D741" s="717" t="s">
        <v>1894</v>
      </c>
      <c r="E741" s="398" t="s">
        <v>1082</v>
      </c>
      <c r="F741" s="637">
        <v>35</v>
      </c>
      <c r="G741" s="400">
        <v>28.36</v>
      </c>
      <c r="H741" s="382">
        <f t="shared" si="48"/>
        <v>35.430148000000003</v>
      </c>
      <c r="I741" s="383">
        <f t="shared" si="49"/>
        <v>1240.06</v>
      </c>
    </row>
    <row r="742" spans="1:9" x14ac:dyDescent="0.2">
      <c r="A742" s="579" t="s">
        <v>1895</v>
      </c>
      <c r="B742" s="624" t="s">
        <v>320</v>
      </c>
      <c r="C742" s="596">
        <v>9816</v>
      </c>
      <c r="D742" s="701" t="s">
        <v>1738</v>
      </c>
      <c r="E742" s="398" t="s">
        <v>1082</v>
      </c>
      <c r="F742" s="637">
        <v>4608</v>
      </c>
      <c r="G742" s="400">
        <v>0.33</v>
      </c>
      <c r="H742" s="382">
        <f t="shared" si="48"/>
        <v>0.412269</v>
      </c>
      <c r="I742" s="383">
        <f t="shared" si="49"/>
        <v>1899.74</v>
      </c>
    </row>
    <row r="743" spans="1:9" x14ac:dyDescent="0.2">
      <c r="A743" s="579" t="s">
        <v>1896</v>
      </c>
      <c r="B743" s="624" t="s">
        <v>320</v>
      </c>
      <c r="C743" s="596">
        <v>9832</v>
      </c>
      <c r="D743" s="701" t="s">
        <v>1740</v>
      </c>
      <c r="E743" s="398" t="s">
        <v>1082</v>
      </c>
      <c r="F743" s="637">
        <v>4608</v>
      </c>
      <c r="G743" s="400">
        <v>1.19</v>
      </c>
      <c r="H743" s="382">
        <f t="shared" si="48"/>
        <v>1.486667</v>
      </c>
      <c r="I743" s="383">
        <f t="shared" si="49"/>
        <v>6850.56</v>
      </c>
    </row>
    <row r="744" spans="1:9" ht="28.5" x14ac:dyDescent="0.2">
      <c r="A744" s="579" t="s">
        <v>1897</v>
      </c>
      <c r="B744" s="624" t="s">
        <v>320</v>
      </c>
      <c r="C744" s="596">
        <v>7384</v>
      </c>
      <c r="D744" s="701" t="s">
        <v>1730</v>
      </c>
      <c r="E744" s="398" t="s">
        <v>473</v>
      </c>
      <c r="F744" s="637">
        <f>+F739</f>
        <v>90</v>
      </c>
      <c r="G744" s="400">
        <v>16.670000000000002</v>
      </c>
      <c r="H744" s="382">
        <f t="shared" si="48"/>
        <v>20.825831000000001</v>
      </c>
      <c r="I744" s="383">
        <f t="shared" si="49"/>
        <v>1874.32</v>
      </c>
    </row>
    <row r="745" spans="1:9" x14ac:dyDescent="0.2">
      <c r="A745" s="579" t="s">
        <v>1898</v>
      </c>
      <c r="B745" s="624" t="s">
        <v>320</v>
      </c>
      <c r="C745" s="596">
        <v>9668</v>
      </c>
      <c r="D745" s="701" t="s">
        <v>1743</v>
      </c>
      <c r="E745" s="398" t="s">
        <v>1082</v>
      </c>
      <c r="F745" s="637">
        <f>+F739*2</f>
        <v>180</v>
      </c>
      <c r="G745" s="400">
        <v>7.95</v>
      </c>
      <c r="H745" s="382">
        <f t="shared" si="48"/>
        <v>9.9319349999999993</v>
      </c>
      <c r="I745" s="383">
        <f t="shared" si="49"/>
        <v>1787.75</v>
      </c>
    </row>
    <row r="746" spans="1:9" x14ac:dyDescent="0.2">
      <c r="A746" s="579" t="s">
        <v>1899</v>
      </c>
      <c r="B746" s="624" t="s">
        <v>320</v>
      </c>
      <c r="C746" s="596">
        <v>9819</v>
      </c>
      <c r="D746" s="701" t="s">
        <v>1745</v>
      </c>
      <c r="E746" s="398" t="s">
        <v>1082</v>
      </c>
      <c r="F746" s="637">
        <v>5194</v>
      </c>
      <c r="G746" s="400">
        <v>3</v>
      </c>
      <c r="H746" s="382">
        <f t="shared" si="48"/>
        <v>3.7479</v>
      </c>
      <c r="I746" s="383">
        <f t="shared" si="49"/>
        <v>19466.59</v>
      </c>
    </row>
    <row r="747" spans="1:9" x14ac:dyDescent="0.2">
      <c r="A747" s="579" t="s">
        <v>1900</v>
      </c>
      <c r="B747" s="624" t="s">
        <v>601</v>
      </c>
      <c r="C747" s="596" t="s">
        <v>1857</v>
      </c>
      <c r="D747" s="701" t="s">
        <v>1858</v>
      </c>
      <c r="E747" s="398" t="s">
        <v>1082</v>
      </c>
      <c r="F747" s="637">
        <v>154</v>
      </c>
      <c r="G747" s="400">
        <v>21.52</v>
      </c>
      <c r="H747" s="382">
        <f t="shared" si="48"/>
        <v>26.884936</v>
      </c>
      <c r="I747" s="383">
        <f t="shared" si="49"/>
        <v>4140.28</v>
      </c>
    </row>
    <row r="748" spans="1:9" ht="33" customHeight="1" x14ac:dyDescent="0.2">
      <c r="A748" s="579" t="s">
        <v>1901</v>
      </c>
      <c r="B748" s="609" t="s">
        <v>315</v>
      </c>
      <c r="C748" s="596">
        <v>92872</v>
      </c>
      <c r="D748" s="576" t="s">
        <v>1767</v>
      </c>
      <c r="E748" s="398" t="s">
        <v>1082</v>
      </c>
      <c r="F748" s="637">
        <v>154</v>
      </c>
      <c r="G748" s="400">
        <v>7.44</v>
      </c>
      <c r="H748" s="382">
        <f t="shared" si="48"/>
        <v>9.2947920000000011</v>
      </c>
      <c r="I748" s="383">
        <f t="shared" si="49"/>
        <v>1431.4</v>
      </c>
    </row>
    <row r="749" spans="1:9" x14ac:dyDescent="0.2">
      <c r="A749" s="579" t="s">
        <v>1902</v>
      </c>
      <c r="B749" s="608" t="s">
        <v>320</v>
      </c>
      <c r="C749" s="596">
        <v>11234</v>
      </c>
      <c r="D749" s="576" t="s">
        <v>1903</v>
      </c>
      <c r="E749" s="398" t="s">
        <v>1082</v>
      </c>
      <c r="F749" s="637">
        <v>113</v>
      </c>
      <c r="G749" s="400">
        <v>71.98</v>
      </c>
      <c r="H749" s="382">
        <f t="shared" si="48"/>
        <v>89.924614000000005</v>
      </c>
      <c r="I749" s="383">
        <f t="shared" si="49"/>
        <v>10161.48</v>
      </c>
    </row>
    <row r="750" spans="1:9" x14ac:dyDescent="0.2">
      <c r="A750" s="579" t="s">
        <v>1904</v>
      </c>
      <c r="B750" s="608" t="s">
        <v>601</v>
      </c>
      <c r="C750" s="596" t="s">
        <v>1805</v>
      </c>
      <c r="D750" s="576" t="s">
        <v>1806</v>
      </c>
      <c r="E750" s="398" t="s">
        <v>473</v>
      </c>
      <c r="F750" s="637">
        <v>6462</v>
      </c>
      <c r="G750" s="400">
        <v>8.34</v>
      </c>
      <c r="H750" s="382">
        <f t="shared" si="48"/>
        <v>10.419162</v>
      </c>
      <c r="I750" s="383">
        <f t="shared" si="49"/>
        <v>67328.62</v>
      </c>
    </row>
    <row r="751" spans="1:9" x14ac:dyDescent="0.2">
      <c r="A751" s="579" t="s">
        <v>1905</v>
      </c>
      <c r="B751" s="608" t="s">
        <v>320</v>
      </c>
      <c r="C751" s="596">
        <v>8690</v>
      </c>
      <c r="D751" s="576" t="s">
        <v>1906</v>
      </c>
      <c r="E751" s="398" t="s">
        <v>473</v>
      </c>
      <c r="F751" s="637">
        <v>330</v>
      </c>
      <c r="G751" s="400">
        <v>13.49</v>
      </c>
      <c r="H751" s="382">
        <f t="shared" si="48"/>
        <v>16.853057</v>
      </c>
      <c r="I751" s="383">
        <f t="shared" si="49"/>
        <v>5561.51</v>
      </c>
    </row>
    <row r="752" spans="1:9" x14ac:dyDescent="0.2">
      <c r="A752" s="579" t="s">
        <v>1907</v>
      </c>
      <c r="B752" s="608" t="s">
        <v>320</v>
      </c>
      <c r="C752" s="596">
        <v>698</v>
      </c>
      <c r="D752" s="576" t="s">
        <v>1808</v>
      </c>
      <c r="E752" s="398" t="s">
        <v>1082</v>
      </c>
      <c r="F752" s="637">
        <v>6500</v>
      </c>
      <c r="G752" s="400">
        <v>0.55000000000000004</v>
      </c>
      <c r="H752" s="382">
        <f t="shared" si="48"/>
        <v>0.68711500000000003</v>
      </c>
      <c r="I752" s="383">
        <f t="shared" si="49"/>
        <v>4466.25</v>
      </c>
    </row>
    <row r="753" spans="1:9" x14ac:dyDescent="0.2">
      <c r="A753" s="579" t="s">
        <v>1908</v>
      </c>
      <c r="B753" s="608" t="s">
        <v>320</v>
      </c>
      <c r="C753" s="596">
        <v>8493</v>
      </c>
      <c r="D753" s="576" t="s">
        <v>1909</v>
      </c>
      <c r="E753" s="398" t="s">
        <v>1082</v>
      </c>
      <c r="F753" s="637">
        <v>4</v>
      </c>
      <c r="G753" s="400">
        <v>1959.08</v>
      </c>
      <c r="H753" s="382">
        <f t="shared" si="48"/>
        <v>2447.4786439999998</v>
      </c>
      <c r="I753" s="383">
        <f t="shared" si="49"/>
        <v>9789.91</v>
      </c>
    </row>
    <row r="754" spans="1:9" x14ac:dyDescent="0.25">
      <c r="A754" s="580"/>
      <c r="B754" s="608"/>
      <c r="C754" s="594"/>
      <c r="D754" s="566"/>
      <c r="E754" s="570"/>
      <c r="F754" s="462"/>
      <c r="G754" s="462"/>
      <c r="H754" s="382"/>
      <c r="I754" s="383"/>
    </row>
    <row r="755" spans="1:9" x14ac:dyDescent="0.25">
      <c r="A755" s="577" t="s">
        <v>1910</v>
      </c>
      <c r="B755" s="604"/>
      <c r="C755" s="588"/>
      <c r="D755" s="446" t="s">
        <v>1911</v>
      </c>
      <c r="E755" s="447"/>
      <c r="F755" s="448"/>
      <c r="G755" s="448"/>
      <c r="H755" s="448"/>
      <c r="I755" s="449">
        <f>SUM(I756:I786)</f>
        <v>209635.61000000004</v>
      </c>
    </row>
    <row r="756" spans="1:9" x14ac:dyDescent="0.25">
      <c r="A756" s="579" t="s">
        <v>1912</v>
      </c>
      <c r="B756" s="608" t="s">
        <v>320</v>
      </c>
      <c r="C756" s="599">
        <v>9276</v>
      </c>
      <c r="D756" s="463" t="s">
        <v>1913</v>
      </c>
      <c r="E756" s="420" t="s">
        <v>1914</v>
      </c>
      <c r="F756" s="421">
        <v>120</v>
      </c>
      <c r="G756" s="422">
        <v>30.81</v>
      </c>
      <c r="H756" s="382">
        <f>G756+(G756*$H$14)</f>
        <v>38.490932999999998</v>
      </c>
      <c r="I756" s="383">
        <f>ROUND(H756*F756,2)</f>
        <v>4618.91</v>
      </c>
    </row>
    <row r="757" spans="1:9" x14ac:dyDescent="0.25">
      <c r="A757" s="579" t="s">
        <v>1915</v>
      </c>
      <c r="B757" s="608" t="s">
        <v>320</v>
      </c>
      <c r="C757" s="599">
        <v>8614</v>
      </c>
      <c r="D757" s="463" t="s">
        <v>1916</v>
      </c>
      <c r="E757" s="423" t="s">
        <v>1914</v>
      </c>
      <c r="F757" s="424">
        <v>1</v>
      </c>
      <c r="G757" s="425">
        <v>59.51</v>
      </c>
      <c r="H757" s="382">
        <f t="shared" ref="H757:H786" si="50">G757+(G757*$H$14)</f>
        <v>74.345843000000002</v>
      </c>
      <c r="I757" s="383">
        <f t="shared" ref="I757:I786" si="51">ROUND(H757*F757,2)</f>
        <v>74.349999999999994</v>
      </c>
    </row>
    <row r="758" spans="1:9" x14ac:dyDescent="0.25">
      <c r="A758" s="579" t="s">
        <v>1917</v>
      </c>
      <c r="B758" s="608" t="s">
        <v>320</v>
      </c>
      <c r="C758" s="599">
        <v>11173</v>
      </c>
      <c r="D758" s="463" t="s">
        <v>1918</v>
      </c>
      <c r="E758" s="423" t="s">
        <v>1914</v>
      </c>
      <c r="F758" s="424">
        <v>1</v>
      </c>
      <c r="G758" s="425">
        <v>1615.1</v>
      </c>
      <c r="H758" s="382">
        <f t="shared" si="50"/>
        <v>2017.7444299999997</v>
      </c>
      <c r="I758" s="383">
        <f t="shared" si="51"/>
        <v>2017.74</v>
      </c>
    </row>
    <row r="759" spans="1:9" x14ac:dyDescent="0.25">
      <c r="A759" s="579" t="s">
        <v>1919</v>
      </c>
      <c r="B759" s="608" t="s">
        <v>320</v>
      </c>
      <c r="C759" s="599">
        <v>10004</v>
      </c>
      <c r="D759" s="463" t="s">
        <v>1920</v>
      </c>
      <c r="E759" s="423" t="s">
        <v>1914</v>
      </c>
      <c r="F759" s="424">
        <v>36</v>
      </c>
      <c r="G759" s="425">
        <v>60.45</v>
      </c>
      <c r="H759" s="382">
        <f t="shared" si="50"/>
        <v>75.520184999999998</v>
      </c>
      <c r="I759" s="383">
        <f t="shared" si="51"/>
        <v>2718.73</v>
      </c>
    </row>
    <row r="760" spans="1:9" x14ac:dyDescent="0.25">
      <c r="A760" s="579" t="s">
        <v>1921</v>
      </c>
      <c r="B760" s="608" t="s">
        <v>320</v>
      </c>
      <c r="C760" s="599">
        <v>9924</v>
      </c>
      <c r="D760" s="426" t="s">
        <v>1922</v>
      </c>
      <c r="E760" s="420" t="s">
        <v>1914</v>
      </c>
      <c r="F760" s="421">
        <v>120</v>
      </c>
      <c r="G760" s="464">
        <v>0.76</v>
      </c>
      <c r="H760" s="382">
        <f t="shared" si="50"/>
        <v>0.94946799999999998</v>
      </c>
      <c r="I760" s="383">
        <f t="shared" si="51"/>
        <v>113.94</v>
      </c>
    </row>
    <row r="761" spans="1:9" x14ac:dyDescent="0.25">
      <c r="A761" s="579" t="s">
        <v>1923</v>
      </c>
      <c r="B761" s="609" t="s">
        <v>315</v>
      </c>
      <c r="C761" s="599" t="s">
        <v>1924</v>
      </c>
      <c r="D761" s="463" t="s">
        <v>1925</v>
      </c>
      <c r="E761" s="423" t="s">
        <v>1914</v>
      </c>
      <c r="F761" s="424">
        <v>34</v>
      </c>
      <c r="G761" s="425">
        <v>239.59</v>
      </c>
      <c r="H761" s="382">
        <f t="shared" si="50"/>
        <v>299.31978700000002</v>
      </c>
      <c r="I761" s="383">
        <f t="shared" si="51"/>
        <v>10176.870000000001</v>
      </c>
    </row>
    <row r="762" spans="1:9" x14ac:dyDescent="0.25">
      <c r="A762" s="579" t="s">
        <v>1926</v>
      </c>
      <c r="B762" s="608" t="s">
        <v>601</v>
      </c>
      <c r="C762" s="599" t="s">
        <v>1002</v>
      </c>
      <c r="D762" s="463" t="s">
        <v>1927</v>
      </c>
      <c r="E762" s="423" t="s">
        <v>1914</v>
      </c>
      <c r="F762" s="424">
        <v>18</v>
      </c>
      <c r="G762" s="464">
        <v>15.91</v>
      </c>
      <c r="H762" s="382">
        <f t="shared" si="50"/>
        <v>19.876363000000001</v>
      </c>
      <c r="I762" s="383">
        <f t="shared" si="51"/>
        <v>357.77</v>
      </c>
    </row>
    <row r="763" spans="1:9" x14ac:dyDescent="0.25">
      <c r="A763" s="579" t="s">
        <v>1928</v>
      </c>
      <c r="B763" s="608" t="s">
        <v>601</v>
      </c>
      <c r="C763" s="599" t="s">
        <v>1929</v>
      </c>
      <c r="D763" s="463" t="s">
        <v>1930</v>
      </c>
      <c r="E763" s="423" t="s">
        <v>1914</v>
      </c>
      <c r="F763" s="424">
        <v>1</v>
      </c>
      <c r="G763" s="412">
        <v>22948.53</v>
      </c>
      <c r="H763" s="382">
        <f t="shared" si="50"/>
        <v>28669.598528999999</v>
      </c>
      <c r="I763" s="383">
        <f t="shared" si="51"/>
        <v>28669.599999999999</v>
      </c>
    </row>
    <row r="764" spans="1:9" ht="28.5" x14ac:dyDescent="0.25">
      <c r="A764" s="579" t="s">
        <v>1931</v>
      </c>
      <c r="B764" s="609" t="s">
        <v>315</v>
      </c>
      <c r="C764" s="599">
        <v>71516</v>
      </c>
      <c r="D764" s="463" t="s">
        <v>1932</v>
      </c>
      <c r="E764" s="423" t="s">
        <v>1914</v>
      </c>
      <c r="F764" s="424">
        <v>34</v>
      </c>
      <c r="G764" s="412">
        <v>550</v>
      </c>
      <c r="H764" s="382">
        <f t="shared" si="50"/>
        <v>687.11500000000001</v>
      </c>
      <c r="I764" s="383">
        <f t="shared" si="51"/>
        <v>23361.91</v>
      </c>
    </row>
    <row r="765" spans="1:9" x14ac:dyDescent="0.25">
      <c r="A765" s="579" t="s">
        <v>1933</v>
      </c>
      <c r="B765" s="608" t="s">
        <v>601</v>
      </c>
      <c r="C765" s="599" t="s">
        <v>1934</v>
      </c>
      <c r="D765" s="463" t="s">
        <v>1935</v>
      </c>
      <c r="E765" s="423" t="s">
        <v>1914</v>
      </c>
      <c r="F765" s="424">
        <v>5</v>
      </c>
      <c r="G765" s="412">
        <v>54.68</v>
      </c>
      <c r="H765" s="382">
        <f t="shared" si="50"/>
        <v>68.311723999999998</v>
      </c>
      <c r="I765" s="383">
        <f t="shared" si="51"/>
        <v>341.56</v>
      </c>
    </row>
    <row r="766" spans="1:9" ht="35.25" customHeight="1" x14ac:dyDescent="0.25">
      <c r="A766" s="579" t="s">
        <v>1936</v>
      </c>
      <c r="B766" s="608" t="s">
        <v>320</v>
      </c>
      <c r="C766" s="599">
        <v>353</v>
      </c>
      <c r="D766" s="463" t="s">
        <v>1937</v>
      </c>
      <c r="E766" s="420" t="s">
        <v>374</v>
      </c>
      <c r="F766" s="421">
        <v>1590</v>
      </c>
      <c r="G766" s="412">
        <v>7.46</v>
      </c>
      <c r="H766" s="382">
        <f t="shared" si="50"/>
        <v>9.3197779999999995</v>
      </c>
      <c r="I766" s="383">
        <f t="shared" si="51"/>
        <v>14818.45</v>
      </c>
    </row>
    <row r="767" spans="1:9" x14ac:dyDescent="0.25">
      <c r="A767" s="579" t="s">
        <v>1938</v>
      </c>
      <c r="B767" s="608" t="s">
        <v>320</v>
      </c>
      <c r="C767" s="599">
        <v>9221</v>
      </c>
      <c r="D767" s="463" t="s">
        <v>1939</v>
      </c>
      <c r="E767" s="423" t="s">
        <v>1914</v>
      </c>
      <c r="F767" s="424">
        <v>40</v>
      </c>
      <c r="G767" s="412">
        <v>208.51</v>
      </c>
      <c r="H767" s="382">
        <f t="shared" si="50"/>
        <v>260.49154299999998</v>
      </c>
      <c r="I767" s="383">
        <f t="shared" si="51"/>
        <v>10419.66</v>
      </c>
    </row>
    <row r="768" spans="1:9" x14ac:dyDescent="0.25">
      <c r="A768" s="579" t="s">
        <v>1940</v>
      </c>
      <c r="B768" s="608" t="s">
        <v>315</v>
      </c>
      <c r="C768" s="599" t="s">
        <v>385</v>
      </c>
      <c r="D768" s="463" t="s">
        <v>1941</v>
      </c>
      <c r="E768" s="423" t="s">
        <v>1914</v>
      </c>
      <c r="F768" s="424">
        <v>15</v>
      </c>
      <c r="G768" s="412">
        <v>170.9</v>
      </c>
      <c r="H768" s="382">
        <f t="shared" si="50"/>
        <v>213.50537</v>
      </c>
      <c r="I768" s="383">
        <f t="shared" si="51"/>
        <v>3202.58</v>
      </c>
    </row>
    <row r="769" spans="1:9" x14ac:dyDescent="0.25">
      <c r="A769" s="579" t="s">
        <v>1942</v>
      </c>
      <c r="B769" s="608" t="s">
        <v>320</v>
      </c>
      <c r="C769" s="599">
        <v>1509</v>
      </c>
      <c r="D769" s="463" t="s">
        <v>1943</v>
      </c>
      <c r="E769" s="423" t="s">
        <v>1914</v>
      </c>
      <c r="F769" s="424">
        <v>34</v>
      </c>
      <c r="G769" s="464">
        <v>98.39</v>
      </c>
      <c r="H769" s="382">
        <f t="shared" si="50"/>
        <v>122.918627</v>
      </c>
      <c r="I769" s="383">
        <f t="shared" si="51"/>
        <v>4179.2299999999996</v>
      </c>
    </row>
    <row r="770" spans="1:9" x14ac:dyDescent="0.25">
      <c r="A770" s="579" t="s">
        <v>1944</v>
      </c>
      <c r="B770" s="609" t="s">
        <v>315</v>
      </c>
      <c r="C770" s="599" t="s">
        <v>1945</v>
      </c>
      <c r="D770" s="463" t="s">
        <v>1946</v>
      </c>
      <c r="E770" s="423" t="s">
        <v>1914</v>
      </c>
      <c r="F770" s="424">
        <v>2</v>
      </c>
      <c r="G770" s="412">
        <v>2085.8200000000002</v>
      </c>
      <c r="H770" s="382">
        <f t="shared" si="50"/>
        <v>2605.814926</v>
      </c>
      <c r="I770" s="383">
        <f t="shared" si="51"/>
        <v>5211.63</v>
      </c>
    </row>
    <row r="771" spans="1:9" x14ac:dyDescent="0.25">
      <c r="A771" s="579" t="s">
        <v>1947</v>
      </c>
      <c r="B771" s="608" t="s">
        <v>320</v>
      </c>
      <c r="C771" s="599">
        <v>10765</v>
      </c>
      <c r="D771" s="463" t="s">
        <v>1948</v>
      </c>
      <c r="E771" s="423" t="s">
        <v>1914</v>
      </c>
      <c r="F771" s="424">
        <v>149</v>
      </c>
      <c r="G771" s="412">
        <v>35.97</v>
      </c>
      <c r="H771" s="382">
        <f t="shared" si="50"/>
        <v>44.937320999999997</v>
      </c>
      <c r="I771" s="383">
        <f t="shared" si="51"/>
        <v>6695.66</v>
      </c>
    </row>
    <row r="772" spans="1:9" x14ac:dyDescent="0.25">
      <c r="A772" s="579" t="s">
        <v>1949</v>
      </c>
      <c r="B772" s="609" t="s">
        <v>315</v>
      </c>
      <c r="C772" s="599">
        <v>72621</v>
      </c>
      <c r="D772" s="463" t="s">
        <v>1950</v>
      </c>
      <c r="E772" s="423" t="s">
        <v>1914</v>
      </c>
      <c r="F772" s="424">
        <v>1</v>
      </c>
      <c r="G772" s="412">
        <v>211.67</v>
      </c>
      <c r="H772" s="382">
        <f t="shared" si="50"/>
        <v>264.43933099999998</v>
      </c>
      <c r="I772" s="383">
        <f t="shared" si="51"/>
        <v>264.44</v>
      </c>
    </row>
    <row r="773" spans="1:9" x14ac:dyDescent="0.25">
      <c r="A773" s="579" t="s">
        <v>1951</v>
      </c>
      <c r="B773" s="608" t="s">
        <v>320</v>
      </c>
      <c r="C773" s="599">
        <v>1317</v>
      </c>
      <c r="D773" s="463" t="s">
        <v>1952</v>
      </c>
      <c r="E773" s="423" t="s">
        <v>1914</v>
      </c>
      <c r="F773" s="424">
        <v>16</v>
      </c>
      <c r="G773" s="412">
        <v>8.6300000000000008</v>
      </c>
      <c r="H773" s="382">
        <f t="shared" si="50"/>
        <v>10.781459000000002</v>
      </c>
      <c r="I773" s="383">
        <f t="shared" si="51"/>
        <v>172.5</v>
      </c>
    </row>
    <row r="774" spans="1:9" x14ac:dyDescent="0.25">
      <c r="A774" s="579" t="s">
        <v>1953</v>
      </c>
      <c r="B774" s="608" t="s">
        <v>315</v>
      </c>
      <c r="C774" s="599">
        <v>90838</v>
      </c>
      <c r="D774" s="463" t="s">
        <v>1954</v>
      </c>
      <c r="E774" s="423" t="s">
        <v>1914</v>
      </c>
      <c r="F774" s="424">
        <v>9</v>
      </c>
      <c r="G774" s="412">
        <v>1234.43</v>
      </c>
      <c r="H774" s="382">
        <f t="shared" si="50"/>
        <v>1542.173399</v>
      </c>
      <c r="I774" s="383">
        <f t="shared" si="51"/>
        <v>13879.56</v>
      </c>
    </row>
    <row r="775" spans="1:9" x14ac:dyDescent="0.25">
      <c r="A775" s="579" t="s">
        <v>1955</v>
      </c>
      <c r="B775" s="608" t="s">
        <v>320</v>
      </c>
      <c r="C775" s="599">
        <v>7826</v>
      </c>
      <c r="D775" s="463" t="s">
        <v>1956</v>
      </c>
      <c r="E775" s="423" t="s">
        <v>1914</v>
      </c>
      <c r="F775" s="424">
        <v>3</v>
      </c>
      <c r="G775" s="412">
        <v>2254.9499999999998</v>
      </c>
      <c r="H775" s="382">
        <f t="shared" si="50"/>
        <v>2817.1090349999995</v>
      </c>
      <c r="I775" s="383">
        <f t="shared" si="51"/>
        <v>8451.33</v>
      </c>
    </row>
    <row r="776" spans="1:9" x14ac:dyDescent="0.25">
      <c r="A776" s="579" t="s">
        <v>1957</v>
      </c>
      <c r="B776" s="609" t="s">
        <v>315</v>
      </c>
      <c r="C776" s="599" t="s">
        <v>1958</v>
      </c>
      <c r="D776" s="463" t="s">
        <v>1959</v>
      </c>
      <c r="E776" s="423" t="s">
        <v>1914</v>
      </c>
      <c r="F776" s="424">
        <v>12</v>
      </c>
      <c r="G776" s="412">
        <v>163.41999999999999</v>
      </c>
      <c r="H776" s="382">
        <f t="shared" si="50"/>
        <v>204.16060599999997</v>
      </c>
      <c r="I776" s="383">
        <f t="shared" si="51"/>
        <v>2449.9299999999998</v>
      </c>
    </row>
    <row r="777" spans="1:9" x14ac:dyDescent="0.25">
      <c r="A777" s="579" t="s">
        <v>1960</v>
      </c>
      <c r="B777" s="608" t="s">
        <v>601</v>
      </c>
      <c r="C777" s="599" t="s">
        <v>1961</v>
      </c>
      <c r="D777" s="427" t="s">
        <v>1962</v>
      </c>
      <c r="E777" s="428" t="s">
        <v>1914</v>
      </c>
      <c r="F777" s="424">
        <v>161</v>
      </c>
      <c r="G777" s="464">
        <v>9.31</v>
      </c>
      <c r="H777" s="382">
        <f t="shared" si="50"/>
        <v>11.630983000000001</v>
      </c>
      <c r="I777" s="383">
        <f t="shared" si="51"/>
        <v>1872.59</v>
      </c>
    </row>
    <row r="778" spans="1:9" ht="28.5" x14ac:dyDescent="0.25">
      <c r="A778" s="579" t="s">
        <v>1963</v>
      </c>
      <c r="B778" s="608" t="s">
        <v>320</v>
      </c>
      <c r="C778" s="599">
        <v>8011</v>
      </c>
      <c r="D778" s="463" t="s">
        <v>1964</v>
      </c>
      <c r="E778" s="423" t="s">
        <v>1914</v>
      </c>
      <c r="F778" s="424">
        <v>58</v>
      </c>
      <c r="G778" s="464">
        <v>91.26</v>
      </c>
      <c r="H778" s="382">
        <f t="shared" si="50"/>
        <v>114.01111800000001</v>
      </c>
      <c r="I778" s="383">
        <f t="shared" si="51"/>
        <v>6612.64</v>
      </c>
    </row>
    <row r="779" spans="1:9" x14ac:dyDescent="0.25">
      <c r="A779" s="579" t="s">
        <v>1965</v>
      </c>
      <c r="B779" s="608" t="s">
        <v>320</v>
      </c>
      <c r="C779" s="599">
        <v>8503</v>
      </c>
      <c r="D779" s="463" t="s">
        <v>1966</v>
      </c>
      <c r="E779" s="423" t="s">
        <v>1914</v>
      </c>
      <c r="F779" s="424">
        <v>36</v>
      </c>
      <c r="G779" s="412">
        <v>139.28</v>
      </c>
      <c r="H779" s="382">
        <f t="shared" si="50"/>
        <v>174.00250399999999</v>
      </c>
      <c r="I779" s="383">
        <f t="shared" si="51"/>
        <v>6264.09</v>
      </c>
    </row>
    <row r="780" spans="1:9" x14ac:dyDescent="0.25">
      <c r="A780" s="579" t="s">
        <v>1967</v>
      </c>
      <c r="B780" s="608" t="s">
        <v>320</v>
      </c>
      <c r="C780" s="599" t="s">
        <v>1968</v>
      </c>
      <c r="D780" s="463" t="s">
        <v>1969</v>
      </c>
      <c r="E780" s="423" t="s">
        <v>1914</v>
      </c>
      <c r="F780" s="424">
        <v>3</v>
      </c>
      <c r="G780" s="412">
        <v>134.84</v>
      </c>
      <c r="H780" s="382">
        <f t="shared" si="50"/>
        <v>168.455612</v>
      </c>
      <c r="I780" s="383">
        <f t="shared" si="51"/>
        <v>505.37</v>
      </c>
    </row>
    <row r="781" spans="1:9" x14ac:dyDescent="0.25">
      <c r="A781" s="579" t="s">
        <v>1970</v>
      </c>
      <c r="B781" s="609" t="s">
        <v>315</v>
      </c>
      <c r="C781" s="599" t="s">
        <v>1971</v>
      </c>
      <c r="D781" s="429" t="s">
        <v>1972</v>
      </c>
      <c r="E781" s="423" t="s">
        <v>1914</v>
      </c>
      <c r="F781" s="424">
        <v>120</v>
      </c>
      <c r="G781" s="412">
        <v>40.42</v>
      </c>
      <c r="H781" s="382">
        <f t="shared" si="50"/>
        <v>50.496706000000003</v>
      </c>
      <c r="I781" s="383">
        <f t="shared" si="51"/>
        <v>6059.6</v>
      </c>
    </row>
    <row r="782" spans="1:9" ht="28.5" x14ac:dyDescent="0.25">
      <c r="A782" s="579" t="s">
        <v>1973</v>
      </c>
      <c r="B782" s="608" t="s">
        <v>320</v>
      </c>
      <c r="C782" s="599">
        <v>890</v>
      </c>
      <c r="D782" s="463" t="s">
        <v>1974</v>
      </c>
      <c r="E782" s="423" t="s">
        <v>374</v>
      </c>
      <c r="F782" s="424">
        <v>624</v>
      </c>
      <c r="G782" s="412">
        <v>56.09</v>
      </c>
      <c r="H782" s="382">
        <f t="shared" si="50"/>
        <v>70.073237000000006</v>
      </c>
      <c r="I782" s="383">
        <f t="shared" si="51"/>
        <v>43725.7</v>
      </c>
    </row>
    <row r="783" spans="1:9" x14ac:dyDescent="0.25">
      <c r="A783" s="579" t="s">
        <v>1975</v>
      </c>
      <c r="B783" s="608" t="s">
        <v>601</v>
      </c>
      <c r="C783" s="599" t="s">
        <v>1976</v>
      </c>
      <c r="D783" s="463" t="s">
        <v>1977</v>
      </c>
      <c r="E783" s="423" t="s">
        <v>1914</v>
      </c>
      <c r="F783" s="424">
        <v>5</v>
      </c>
      <c r="G783" s="412">
        <v>76.040000000000006</v>
      </c>
      <c r="H783" s="382">
        <f t="shared" si="50"/>
        <v>94.996772000000007</v>
      </c>
      <c r="I783" s="383">
        <f t="shared" si="51"/>
        <v>474.98</v>
      </c>
    </row>
    <row r="784" spans="1:9" x14ac:dyDescent="0.25">
      <c r="A784" s="579" t="s">
        <v>1978</v>
      </c>
      <c r="B784" s="608" t="s">
        <v>320</v>
      </c>
      <c r="C784" s="599">
        <v>1518</v>
      </c>
      <c r="D784" s="463" t="s">
        <v>1979</v>
      </c>
      <c r="E784" s="423" t="s">
        <v>1914</v>
      </c>
      <c r="F784" s="424">
        <v>1</v>
      </c>
      <c r="G784" s="412">
        <v>401.43</v>
      </c>
      <c r="H784" s="382">
        <f t="shared" si="50"/>
        <v>501.50649900000002</v>
      </c>
      <c r="I784" s="383">
        <f t="shared" si="51"/>
        <v>501.51</v>
      </c>
    </row>
    <row r="785" spans="1:10" x14ac:dyDescent="0.25">
      <c r="A785" s="579" t="s">
        <v>1980</v>
      </c>
      <c r="B785" s="608" t="s">
        <v>320</v>
      </c>
      <c r="C785" s="599">
        <v>8940</v>
      </c>
      <c r="D785" s="463" t="s">
        <v>1981</v>
      </c>
      <c r="E785" s="423" t="s">
        <v>1914</v>
      </c>
      <c r="F785" s="424">
        <v>3</v>
      </c>
      <c r="G785" s="412">
        <v>209.4</v>
      </c>
      <c r="H785" s="382">
        <f t="shared" si="50"/>
        <v>261.60342000000003</v>
      </c>
      <c r="I785" s="383">
        <f t="shared" si="51"/>
        <v>784.81</v>
      </c>
    </row>
    <row r="786" spans="1:10" x14ac:dyDescent="0.25">
      <c r="A786" s="579" t="s">
        <v>1982</v>
      </c>
      <c r="B786" s="609" t="s">
        <v>315</v>
      </c>
      <c r="C786" s="599" t="s">
        <v>1983</v>
      </c>
      <c r="D786" s="463" t="s">
        <v>1984</v>
      </c>
      <c r="E786" s="423" t="s">
        <v>1914</v>
      </c>
      <c r="F786" s="424">
        <v>3</v>
      </c>
      <c r="G786" s="412">
        <v>170.22</v>
      </c>
      <c r="H786" s="382">
        <f t="shared" si="50"/>
        <v>212.655846</v>
      </c>
      <c r="I786" s="383">
        <f t="shared" si="51"/>
        <v>637.97</v>
      </c>
    </row>
    <row r="787" spans="1:10" x14ac:dyDescent="0.25">
      <c r="A787" s="580"/>
      <c r="B787" s="608"/>
      <c r="C787" s="594"/>
      <c r="D787" s="416"/>
      <c r="E787" s="414"/>
      <c r="F787" s="457"/>
      <c r="G787" s="457"/>
      <c r="H787" s="382"/>
      <c r="I787" s="383"/>
    </row>
    <row r="788" spans="1:10" x14ac:dyDescent="0.25">
      <c r="A788" s="577" t="s">
        <v>1985</v>
      </c>
      <c r="B788" s="604"/>
      <c r="C788" s="588"/>
      <c r="D788" s="446" t="s">
        <v>1986</v>
      </c>
      <c r="E788" s="447"/>
      <c r="F788" s="448"/>
      <c r="G788" s="448"/>
      <c r="H788" s="448"/>
      <c r="I788" s="449">
        <f>SUM(I789:I811)</f>
        <v>3508319.7800000003</v>
      </c>
    </row>
    <row r="789" spans="1:10" x14ac:dyDescent="0.25">
      <c r="A789" s="580"/>
      <c r="B789" s="608"/>
      <c r="C789" s="594"/>
      <c r="D789" s="430" t="s">
        <v>1987</v>
      </c>
      <c r="E789" s="414"/>
      <c r="F789" s="457"/>
      <c r="G789" s="457"/>
      <c r="H789" s="382"/>
      <c r="I789" s="383"/>
    </row>
    <row r="790" spans="1:10" x14ac:dyDescent="0.25">
      <c r="A790" s="579" t="s">
        <v>1988</v>
      </c>
      <c r="B790" s="608" t="s">
        <v>601</v>
      </c>
      <c r="C790" s="594" t="s">
        <v>1989</v>
      </c>
      <c r="D790" s="431" t="s">
        <v>1990</v>
      </c>
      <c r="E790" s="414" t="s">
        <v>1914</v>
      </c>
      <c r="F790" s="457">
        <v>66</v>
      </c>
      <c r="G790" s="457">
        <v>3637.7</v>
      </c>
      <c r="H790" s="382">
        <f>G790+(G790*$H$14)</f>
        <v>4544.5786099999996</v>
      </c>
      <c r="I790" s="382">
        <f t="shared" ref="I790:I797" si="52">ROUND(H790*F790,2)</f>
        <v>299942.19</v>
      </c>
    </row>
    <row r="791" spans="1:10" x14ac:dyDescent="0.25">
      <c r="A791" s="579" t="s">
        <v>1991</v>
      </c>
      <c r="B791" s="608" t="s">
        <v>601</v>
      </c>
      <c r="C791" s="594" t="s">
        <v>1992</v>
      </c>
      <c r="D791" s="431" t="s">
        <v>1993</v>
      </c>
      <c r="E791" s="414" t="s">
        <v>1914</v>
      </c>
      <c r="F791" s="457">
        <v>1</v>
      </c>
      <c r="G791" s="457">
        <v>2488.66</v>
      </c>
      <c r="H791" s="382">
        <f>G791+(G791*$H$14)</f>
        <v>3109.0829379999996</v>
      </c>
      <c r="I791" s="382">
        <f t="shared" si="52"/>
        <v>3109.08</v>
      </c>
    </row>
    <row r="792" spans="1:10" x14ac:dyDescent="0.25">
      <c r="A792" s="579" t="s">
        <v>1994</v>
      </c>
      <c r="B792" s="608" t="s">
        <v>601</v>
      </c>
      <c r="C792" s="594" t="s">
        <v>1995</v>
      </c>
      <c r="D792" s="431" t="s">
        <v>1996</v>
      </c>
      <c r="E792" s="414" t="s">
        <v>1914</v>
      </c>
      <c r="F792" s="457">
        <v>49</v>
      </c>
      <c r="G792" s="457">
        <v>2254.4899999999998</v>
      </c>
      <c r="H792" s="382">
        <f>G792+(G792*$H$14)</f>
        <v>2816.5343569999995</v>
      </c>
      <c r="I792" s="382">
        <f t="shared" si="52"/>
        <v>138010.18</v>
      </c>
    </row>
    <row r="793" spans="1:10" x14ac:dyDescent="0.25">
      <c r="A793" s="579" t="s">
        <v>1997</v>
      </c>
      <c r="B793" s="608" t="s">
        <v>320</v>
      </c>
      <c r="C793" s="594">
        <v>10368</v>
      </c>
      <c r="D793" s="431" t="s">
        <v>1998</v>
      </c>
      <c r="E793" s="414" t="s">
        <v>1914</v>
      </c>
      <c r="F793" s="457">
        <v>10</v>
      </c>
      <c r="G793" s="457">
        <v>1593.24</v>
      </c>
      <c r="H793" s="382">
        <f>G793+(G793*$H$14)</f>
        <v>1990.4347319999999</v>
      </c>
      <c r="I793" s="382">
        <f t="shared" si="52"/>
        <v>19904.349999999999</v>
      </c>
    </row>
    <row r="794" spans="1:10" x14ac:dyDescent="0.25">
      <c r="A794" s="579" t="s">
        <v>1999</v>
      </c>
      <c r="B794" s="608" t="s">
        <v>2000</v>
      </c>
      <c r="C794" s="594">
        <v>430710</v>
      </c>
      <c r="D794" s="431" t="s">
        <v>2001</v>
      </c>
      <c r="E794" s="414" t="s">
        <v>1914</v>
      </c>
      <c r="F794" s="457">
        <v>8</v>
      </c>
      <c r="G794" s="457">
        <v>2254.4899999999998</v>
      </c>
      <c r="H794" s="382">
        <f t="shared" ref="H794:H811" si="53">G794+(G794*$H$14)</f>
        <v>2816.5343569999995</v>
      </c>
      <c r="I794" s="382">
        <f t="shared" si="52"/>
        <v>22532.27</v>
      </c>
    </row>
    <row r="795" spans="1:10" ht="28.5" x14ac:dyDescent="0.25">
      <c r="A795" s="579" t="s">
        <v>2002</v>
      </c>
      <c r="B795" s="608" t="s">
        <v>601</v>
      </c>
      <c r="C795" s="594" t="s">
        <v>2003</v>
      </c>
      <c r="D795" s="402" t="s">
        <v>2004</v>
      </c>
      <c r="E795" s="414" t="s">
        <v>2005</v>
      </c>
      <c r="F795" s="457">
        <v>1</v>
      </c>
      <c r="G795" s="457">
        <v>3738.99</v>
      </c>
      <c r="H795" s="382">
        <f t="shared" si="53"/>
        <v>4671.1202069999999</v>
      </c>
      <c r="I795" s="382">
        <f t="shared" si="52"/>
        <v>4671.12</v>
      </c>
    </row>
    <row r="796" spans="1:10" ht="28.5" x14ac:dyDescent="0.25">
      <c r="A796" s="579" t="s">
        <v>2006</v>
      </c>
      <c r="B796" s="608" t="s">
        <v>601</v>
      </c>
      <c r="C796" s="594" t="s">
        <v>2003</v>
      </c>
      <c r="D796" s="402" t="s">
        <v>2007</v>
      </c>
      <c r="E796" s="414" t="s">
        <v>2005</v>
      </c>
      <c r="F796" s="457">
        <v>2.1</v>
      </c>
      <c r="G796" s="457">
        <v>3738.99</v>
      </c>
      <c r="H796" s="382">
        <f t="shared" si="53"/>
        <v>4671.1202069999999</v>
      </c>
      <c r="I796" s="382">
        <f t="shared" si="52"/>
        <v>9809.35</v>
      </c>
    </row>
    <row r="797" spans="1:10" ht="28.5" x14ac:dyDescent="0.25">
      <c r="A797" s="579" t="s">
        <v>2008</v>
      </c>
      <c r="B797" s="608" t="s">
        <v>601</v>
      </c>
      <c r="C797" s="594" t="s">
        <v>2003</v>
      </c>
      <c r="D797" s="402" t="s">
        <v>2009</v>
      </c>
      <c r="E797" s="414" t="s">
        <v>2005</v>
      </c>
      <c r="F797" s="457">
        <v>4</v>
      </c>
      <c r="G797" s="457">
        <v>3738.99</v>
      </c>
      <c r="H797" s="382">
        <f t="shared" si="53"/>
        <v>4671.1202069999999</v>
      </c>
      <c r="I797" s="382">
        <f t="shared" si="52"/>
        <v>18684.48</v>
      </c>
    </row>
    <row r="798" spans="1:10" x14ac:dyDescent="0.25">
      <c r="A798" s="579" t="s">
        <v>2010</v>
      </c>
      <c r="B798" s="608" t="s">
        <v>601</v>
      </c>
      <c r="C798" s="594" t="s">
        <v>2011</v>
      </c>
      <c r="D798" s="431" t="s">
        <v>2012</v>
      </c>
      <c r="E798" s="414" t="s">
        <v>2005</v>
      </c>
      <c r="F798" s="457">
        <v>400</v>
      </c>
      <c r="G798" s="457">
        <v>5590.88</v>
      </c>
      <c r="H798" s="382">
        <f t="shared" si="53"/>
        <v>6984.6863840000005</v>
      </c>
      <c r="I798" s="382">
        <f>ROUND(H798*F798,2)</f>
        <v>2793874.55</v>
      </c>
      <c r="J798" s="692"/>
    </row>
    <row r="799" spans="1:10" x14ac:dyDescent="0.25">
      <c r="A799" s="580"/>
      <c r="B799" s="608"/>
      <c r="C799" s="594"/>
      <c r="D799" s="430" t="s">
        <v>2013</v>
      </c>
      <c r="E799" s="414"/>
      <c r="F799" s="457"/>
      <c r="G799" s="457"/>
      <c r="H799" s="382"/>
      <c r="I799" s="382"/>
    </row>
    <row r="800" spans="1:10" ht="33" customHeight="1" x14ac:dyDescent="0.25">
      <c r="A800" s="579" t="s">
        <v>2014</v>
      </c>
      <c r="B800" s="619" t="s">
        <v>320</v>
      </c>
      <c r="C800" s="594">
        <v>8286</v>
      </c>
      <c r="D800" s="402" t="s">
        <v>2015</v>
      </c>
      <c r="E800" s="414" t="s">
        <v>378</v>
      </c>
      <c r="F800" s="457">
        <f>1060.0523949181</f>
        <v>1060.0523949180999</v>
      </c>
      <c r="G800" s="457">
        <v>126.74</v>
      </c>
      <c r="H800" s="382">
        <f t="shared" si="53"/>
        <v>158.33628199999998</v>
      </c>
      <c r="I800" s="382">
        <f>ROUND(H800*F800,2)</f>
        <v>167844.75</v>
      </c>
    </row>
    <row r="801" spans="1:9" x14ac:dyDescent="0.25">
      <c r="A801" s="583">
        <v>1711</v>
      </c>
      <c r="B801" s="624" t="s">
        <v>601</v>
      </c>
      <c r="C801" s="594" t="s">
        <v>2016</v>
      </c>
      <c r="D801" s="431" t="s">
        <v>2017</v>
      </c>
      <c r="E801" s="414" t="s">
        <v>378</v>
      </c>
      <c r="F801" s="457">
        <v>16.100000000000001</v>
      </c>
      <c r="G801" s="457">
        <v>200.21</v>
      </c>
      <c r="H801" s="382">
        <f t="shared" si="53"/>
        <v>250.122353</v>
      </c>
      <c r="I801" s="382">
        <f>ROUND(H801*F801,2)</f>
        <v>4026.97</v>
      </c>
    </row>
    <row r="802" spans="1:9" x14ac:dyDescent="0.25">
      <c r="A802" s="579" t="s">
        <v>2018</v>
      </c>
      <c r="B802" s="608" t="s">
        <v>601</v>
      </c>
      <c r="C802" s="594" t="s">
        <v>2003</v>
      </c>
      <c r="D802" s="431" t="s">
        <v>2019</v>
      </c>
      <c r="E802" s="414" t="s">
        <v>378</v>
      </c>
      <c r="F802" s="457">
        <v>17.940000000000001</v>
      </c>
      <c r="G802" s="457">
        <v>200.21</v>
      </c>
      <c r="H802" s="382">
        <f t="shared" si="53"/>
        <v>250.122353</v>
      </c>
      <c r="I802" s="382">
        <f t="shared" ref="I802:I811" si="54">ROUND(H802*F802,2)</f>
        <v>4487.2</v>
      </c>
    </row>
    <row r="803" spans="1:9" x14ac:dyDescent="0.25">
      <c r="A803" s="583">
        <v>1712</v>
      </c>
      <c r="B803" s="608" t="s">
        <v>601</v>
      </c>
      <c r="C803" s="594" t="s">
        <v>2020</v>
      </c>
      <c r="D803" s="431" t="s">
        <v>2021</v>
      </c>
      <c r="E803" s="414" t="s">
        <v>378</v>
      </c>
      <c r="F803" s="457">
        <v>1.84</v>
      </c>
      <c r="G803" s="457">
        <v>200.21</v>
      </c>
      <c r="H803" s="382">
        <f t="shared" si="53"/>
        <v>250.122353</v>
      </c>
      <c r="I803" s="382">
        <f t="shared" si="54"/>
        <v>460.23</v>
      </c>
    </row>
    <row r="804" spans="1:9" x14ac:dyDescent="0.25">
      <c r="A804" s="579" t="s">
        <v>2022</v>
      </c>
      <c r="B804" s="608" t="s">
        <v>601</v>
      </c>
      <c r="C804" s="594" t="s">
        <v>2023</v>
      </c>
      <c r="D804" s="431" t="s">
        <v>2024</v>
      </c>
      <c r="E804" s="414" t="s">
        <v>378</v>
      </c>
      <c r="F804" s="457">
        <v>0.92</v>
      </c>
      <c r="G804" s="457">
        <v>200.21</v>
      </c>
      <c r="H804" s="382">
        <f t="shared" si="53"/>
        <v>250.122353</v>
      </c>
      <c r="I804" s="382">
        <f t="shared" si="54"/>
        <v>230.11</v>
      </c>
    </row>
    <row r="805" spans="1:9" x14ac:dyDescent="0.25">
      <c r="A805" s="583">
        <v>1713</v>
      </c>
      <c r="B805" s="608" t="s">
        <v>601</v>
      </c>
      <c r="C805" s="594" t="s">
        <v>2025</v>
      </c>
      <c r="D805" s="431" t="s">
        <v>2026</v>
      </c>
      <c r="E805" s="414" t="s">
        <v>1914</v>
      </c>
      <c r="F805" s="457">
        <v>4</v>
      </c>
      <c r="G805" s="457">
        <v>124.67</v>
      </c>
      <c r="H805" s="382">
        <f t="shared" si="53"/>
        <v>155.75023100000001</v>
      </c>
      <c r="I805" s="382">
        <f t="shared" si="54"/>
        <v>623</v>
      </c>
    </row>
    <row r="806" spans="1:9" x14ac:dyDescent="0.25">
      <c r="A806" s="579" t="s">
        <v>2027</v>
      </c>
      <c r="B806" s="608" t="s">
        <v>601</v>
      </c>
      <c r="C806" s="594" t="s">
        <v>2025</v>
      </c>
      <c r="D806" s="431" t="s">
        <v>2028</v>
      </c>
      <c r="E806" s="414" t="s">
        <v>1914</v>
      </c>
      <c r="F806" s="457">
        <v>8</v>
      </c>
      <c r="G806" s="457">
        <v>124.67</v>
      </c>
      <c r="H806" s="382">
        <f t="shared" si="53"/>
        <v>155.75023100000001</v>
      </c>
      <c r="I806" s="382">
        <f t="shared" si="54"/>
        <v>1246</v>
      </c>
    </row>
    <row r="807" spans="1:9" x14ac:dyDescent="0.25">
      <c r="A807" s="583">
        <v>1714</v>
      </c>
      <c r="B807" s="608" t="s">
        <v>601</v>
      </c>
      <c r="C807" s="594" t="s">
        <v>2025</v>
      </c>
      <c r="D807" s="431" t="s">
        <v>2029</v>
      </c>
      <c r="E807" s="414" t="s">
        <v>1914</v>
      </c>
      <c r="F807" s="457">
        <v>20</v>
      </c>
      <c r="G807" s="457">
        <v>124.67</v>
      </c>
      <c r="H807" s="382">
        <f t="shared" si="53"/>
        <v>155.75023100000001</v>
      </c>
      <c r="I807" s="382">
        <f t="shared" si="54"/>
        <v>3115</v>
      </c>
    </row>
    <row r="808" spans="1:9" x14ac:dyDescent="0.25">
      <c r="A808" s="579" t="s">
        <v>2030</v>
      </c>
      <c r="B808" s="608" t="s">
        <v>601</v>
      </c>
      <c r="C808" s="594" t="s">
        <v>2025</v>
      </c>
      <c r="D808" s="431" t="s">
        <v>2031</v>
      </c>
      <c r="E808" s="414" t="s">
        <v>1914</v>
      </c>
      <c r="F808" s="457">
        <v>3</v>
      </c>
      <c r="G808" s="457">
        <v>124.67</v>
      </c>
      <c r="H808" s="382">
        <f t="shared" si="53"/>
        <v>155.75023100000001</v>
      </c>
      <c r="I808" s="382">
        <f t="shared" si="54"/>
        <v>467.25</v>
      </c>
    </row>
    <row r="809" spans="1:9" x14ac:dyDescent="0.25">
      <c r="A809" s="583">
        <v>1715</v>
      </c>
      <c r="B809" s="608" t="s">
        <v>601</v>
      </c>
      <c r="C809" s="594" t="s">
        <v>2032</v>
      </c>
      <c r="D809" s="431" t="s">
        <v>2033</v>
      </c>
      <c r="E809" s="414" t="s">
        <v>1914</v>
      </c>
      <c r="F809" s="457">
        <v>6</v>
      </c>
      <c r="G809" s="457">
        <v>185.17</v>
      </c>
      <c r="H809" s="382">
        <f t="shared" si="53"/>
        <v>231.33288099999999</v>
      </c>
      <c r="I809" s="382">
        <f t="shared" si="54"/>
        <v>1388</v>
      </c>
    </row>
    <row r="810" spans="1:9" x14ac:dyDescent="0.25">
      <c r="A810" s="579" t="s">
        <v>2034</v>
      </c>
      <c r="B810" s="608" t="s">
        <v>320</v>
      </c>
      <c r="C810" s="594" t="s">
        <v>2035</v>
      </c>
      <c r="D810" s="431" t="s">
        <v>2036</v>
      </c>
      <c r="E810" s="414" t="s">
        <v>1914</v>
      </c>
      <c r="F810" s="457">
        <v>4</v>
      </c>
      <c r="G810" s="457">
        <v>375.01</v>
      </c>
      <c r="H810" s="382">
        <f t="shared" si="53"/>
        <v>468.49999300000002</v>
      </c>
      <c r="I810" s="382">
        <f t="shared" si="54"/>
        <v>1874</v>
      </c>
    </row>
    <row r="811" spans="1:9" x14ac:dyDescent="0.25">
      <c r="A811" s="583">
        <v>1716</v>
      </c>
      <c r="B811" s="608" t="s">
        <v>320</v>
      </c>
      <c r="C811" s="594">
        <v>10176</v>
      </c>
      <c r="D811" s="431" t="s">
        <v>2037</v>
      </c>
      <c r="E811" s="414" t="s">
        <v>1914</v>
      </c>
      <c r="F811" s="457">
        <v>7</v>
      </c>
      <c r="G811" s="457">
        <v>1374.45</v>
      </c>
      <c r="H811" s="382">
        <f t="shared" si="53"/>
        <v>1717.1003850000002</v>
      </c>
      <c r="I811" s="382">
        <f t="shared" si="54"/>
        <v>12019.7</v>
      </c>
    </row>
    <row r="812" spans="1:9" x14ac:dyDescent="0.25">
      <c r="A812" s="580"/>
      <c r="B812" s="608"/>
      <c r="C812" s="594"/>
      <c r="D812" s="460"/>
      <c r="E812" s="414"/>
      <c r="F812" s="457"/>
      <c r="G812" s="457"/>
      <c r="H812" s="382"/>
      <c r="I812" s="383"/>
    </row>
    <row r="813" spans="1:9" x14ac:dyDescent="0.25">
      <c r="A813" s="577" t="s">
        <v>2038</v>
      </c>
      <c r="B813" s="604"/>
      <c r="C813" s="588"/>
      <c r="D813" s="446" t="s">
        <v>2039</v>
      </c>
      <c r="E813" s="447"/>
      <c r="F813" s="448"/>
      <c r="G813" s="448"/>
      <c r="H813" s="448"/>
      <c r="I813" s="449">
        <f>SUM(I814:I847)</f>
        <v>19472.889999999996</v>
      </c>
    </row>
    <row r="814" spans="1:9" x14ac:dyDescent="0.25">
      <c r="A814" s="580"/>
      <c r="B814" s="609"/>
      <c r="C814" s="558"/>
      <c r="D814" s="458" t="s">
        <v>2040</v>
      </c>
      <c r="E814" s="414"/>
      <c r="F814" s="416"/>
      <c r="G814" s="457"/>
      <c r="H814" s="382"/>
      <c r="I814" s="383"/>
    </row>
    <row r="815" spans="1:9" x14ac:dyDescent="0.25">
      <c r="A815" s="579" t="s">
        <v>2041</v>
      </c>
      <c r="B815" s="609" t="s">
        <v>315</v>
      </c>
      <c r="C815" s="558">
        <v>92317</v>
      </c>
      <c r="D815" s="416" t="s">
        <v>2042</v>
      </c>
      <c r="E815" s="414" t="s">
        <v>323</v>
      </c>
      <c r="F815" s="457">
        <v>5</v>
      </c>
      <c r="G815" s="457">
        <v>9.5</v>
      </c>
      <c r="H815" s="432">
        <f>G815+(G815*$H$14)</f>
        <v>11.86835</v>
      </c>
      <c r="I815" s="433">
        <f t="shared" ref="I815:I846" si="55">ROUND(H815*F815,2)</f>
        <v>59.34</v>
      </c>
    </row>
    <row r="816" spans="1:9" x14ac:dyDescent="0.25">
      <c r="A816" s="579" t="s">
        <v>2043</v>
      </c>
      <c r="B816" s="609" t="s">
        <v>315</v>
      </c>
      <c r="C816" s="558">
        <v>92326</v>
      </c>
      <c r="D816" s="416" t="s">
        <v>2044</v>
      </c>
      <c r="E816" s="414" t="s">
        <v>323</v>
      </c>
      <c r="F816" s="457">
        <v>25</v>
      </c>
      <c r="G816" s="457">
        <v>7.2</v>
      </c>
      <c r="H816" s="432">
        <f>G816+(G816*$H$14)</f>
        <v>8.9949600000000007</v>
      </c>
      <c r="I816" s="433">
        <f t="shared" si="55"/>
        <v>224.87</v>
      </c>
    </row>
    <row r="817" spans="1:9" x14ac:dyDescent="0.25">
      <c r="A817" s="579" t="s">
        <v>2045</v>
      </c>
      <c r="B817" s="609" t="s">
        <v>315</v>
      </c>
      <c r="C817" s="558">
        <v>92320</v>
      </c>
      <c r="D817" s="416" t="s">
        <v>2046</v>
      </c>
      <c r="E817" s="414" t="s">
        <v>323</v>
      </c>
      <c r="F817" s="457">
        <v>66</v>
      </c>
      <c r="G817" s="457">
        <v>22.14</v>
      </c>
      <c r="H817" s="432">
        <f t="shared" ref="H817:H878" si="56">G817+(G817*$H$14)</f>
        <v>27.659502</v>
      </c>
      <c r="I817" s="433">
        <f t="shared" si="55"/>
        <v>1825.53</v>
      </c>
    </row>
    <row r="818" spans="1:9" x14ac:dyDescent="0.25">
      <c r="A818" s="579" t="s">
        <v>2047</v>
      </c>
      <c r="B818" s="609" t="s">
        <v>315</v>
      </c>
      <c r="C818" s="558">
        <v>92321</v>
      </c>
      <c r="D818" s="416" t="s">
        <v>2048</v>
      </c>
      <c r="E818" s="414" t="s">
        <v>323</v>
      </c>
      <c r="F818" s="457">
        <v>32</v>
      </c>
      <c r="G818" s="457">
        <v>36.15</v>
      </c>
      <c r="H818" s="432">
        <f t="shared" si="56"/>
        <v>45.162194999999997</v>
      </c>
      <c r="I818" s="433">
        <f t="shared" si="55"/>
        <v>1445.19</v>
      </c>
    </row>
    <row r="819" spans="1:9" x14ac:dyDescent="0.25">
      <c r="A819" s="579" t="s">
        <v>2049</v>
      </c>
      <c r="B819" s="609" t="s">
        <v>315</v>
      </c>
      <c r="C819" s="558">
        <v>92322</v>
      </c>
      <c r="D819" s="416" t="s">
        <v>2050</v>
      </c>
      <c r="E819" s="414" t="s">
        <v>323</v>
      </c>
      <c r="F819" s="457">
        <v>12</v>
      </c>
      <c r="G819" s="457">
        <v>46.19</v>
      </c>
      <c r="H819" s="432">
        <f t="shared" si="56"/>
        <v>57.705166999999996</v>
      </c>
      <c r="I819" s="433">
        <f t="shared" si="55"/>
        <v>692.46</v>
      </c>
    </row>
    <row r="820" spans="1:9" x14ac:dyDescent="0.25">
      <c r="A820" s="579" t="s">
        <v>2051</v>
      </c>
      <c r="B820" s="609" t="s">
        <v>315</v>
      </c>
      <c r="C820" s="558">
        <v>39138</v>
      </c>
      <c r="D820" s="416" t="s">
        <v>2052</v>
      </c>
      <c r="E820" s="414" t="s">
        <v>323</v>
      </c>
      <c r="F820" s="457">
        <v>6</v>
      </c>
      <c r="G820" s="457">
        <v>0.56999999999999995</v>
      </c>
      <c r="H820" s="432">
        <f t="shared" si="56"/>
        <v>0.71210099999999987</v>
      </c>
      <c r="I820" s="433">
        <f t="shared" si="55"/>
        <v>4.2699999999999996</v>
      </c>
    </row>
    <row r="821" spans="1:9" x14ac:dyDescent="0.25">
      <c r="A821" s="579" t="s">
        <v>2053</v>
      </c>
      <c r="B821" s="609" t="s">
        <v>315</v>
      </c>
      <c r="C821" s="558">
        <v>20061</v>
      </c>
      <c r="D821" s="416" t="s">
        <v>2054</v>
      </c>
      <c r="E821" s="414" t="s">
        <v>323</v>
      </c>
      <c r="F821" s="457">
        <v>6</v>
      </c>
      <c r="G821" s="457">
        <v>2.8</v>
      </c>
      <c r="H821" s="432">
        <f t="shared" si="56"/>
        <v>3.4980399999999996</v>
      </c>
      <c r="I821" s="433">
        <f t="shared" si="55"/>
        <v>20.99</v>
      </c>
    </row>
    <row r="822" spans="1:9" x14ac:dyDescent="0.25">
      <c r="A822" s="579" t="s">
        <v>2055</v>
      </c>
      <c r="B822" s="609" t="s">
        <v>315</v>
      </c>
      <c r="C822" s="558">
        <v>4335</v>
      </c>
      <c r="D822" s="416" t="s">
        <v>2056</v>
      </c>
      <c r="E822" s="414" t="s">
        <v>323</v>
      </c>
      <c r="F822" s="457">
        <v>8</v>
      </c>
      <c r="G822" s="457">
        <v>4.7699999999999996</v>
      </c>
      <c r="H822" s="432">
        <f t="shared" si="56"/>
        <v>5.9591609999999999</v>
      </c>
      <c r="I822" s="433">
        <f t="shared" si="55"/>
        <v>47.67</v>
      </c>
    </row>
    <row r="823" spans="1:9" x14ac:dyDescent="0.25">
      <c r="A823" s="579" t="s">
        <v>2057</v>
      </c>
      <c r="B823" s="609" t="s">
        <v>315</v>
      </c>
      <c r="C823" s="558">
        <v>4375</v>
      </c>
      <c r="D823" s="416" t="s">
        <v>2058</v>
      </c>
      <c r="E823" s="414" t="s">
        <v>323</v>
      </c>
      <c r="F823" s="457">
        <v>8</v>
      </c>
      <c r="G823" s="457">
        <v>6.0600000000000001E-2</v>
      </c>
      <c r="H823" s="432">
        <f t="shared" si="56"/>
        <v>7.5707579999999997E-2</v>
      </c>
      <c r="I823" s="433">
        <f t="shared" si="55"/>
        <v>0.61</v>
      </c>
    </row>
    <row r="824" spans="1:9" x14ac:dyDescent="0.25">
      <c r="A824" s="579" t="s">
        <v>2059</v>
      </c>
      <c r="B824" s="609" t="s">
        <v>315</v>
      </c>
      <c r="C824" s="558">
        <v>1163</v>
      </c>
      <c r="D824" s="416" t="s">
        <v>2060</v>
      </c>
      <c r="E824" s="414" t="s">
        <v>323</v>
      </c>
      <c r="F824" s="457">
        <v>2</v>
      </c>
      <c r="G824" s="457">
        <v>2.96</v>
      </c>
      <c r="H824" s="432">
        <f t="shared" si="56"/>
        <v>3.6979280000000001</v>
      </c>
      <c r="I824" s="433">
        <f t="shared" si="55"/>
        <v>7.4</v>
      </c>
    </row>
    <row r="825" spans="1:9" x14ac:dyDescent="0.25">
      <c r="A825" s="579" t="s">
        <v>2061</v>
      </c>
      <c r="B825" s="609" t="s">
        <v>315</v>
      </c>
      <c r="C825" s="558">
        <v>93108</v>
      </c>
      <c r="D825" s="416" t="s">
        <v>2062</v>
      </c>
      <c r="E825" s="414" t="s">
        <v>323</v>
      </c>
      <c r="F825" s="457">
        <v>2</v>
      </c>
      <c r="G825" s="457">
        <v>7.74</v>
      </c>
      <c r="H825" s="432">
        <f t="shared" si="56"/>
        <v>9.6695820000000001</v>
      </c>
      <c r="I825" s="433">
        <f t="shared" si="55"/>
        <v>19.34</v>
      </c>
    </row>
    <row r="826" spans="1:9" x14ac:dyDescent="0.25">
      <c r="A826" s="579" t="s">
        <v>2063</v>
      </c>
      <c r="B826" s="609" t="s">
        <v>320</v>
      </c>
      <c r="C826" s="558">
        <v>3698</v>
      </c>
      <c r="D826" s="416" t="s">
        <v>2064</v>
      </c>
      <c r="E826" s="414" t="s">
        <v>323</v>
      </c>
      <c r="F826" s="457">
        <v>4</v>
      </c>
      <c r="G826" s="457">
        <v>20.82</v>
      </c>
      <c r="H826" s="432">
        <f t="shared" si="56"/>
        <v>26.010425999999999</v>
      </c>
      <c r="I826" s="433">
        <f t="shared" si="55"/>
        <v>104.04</v>
      </c>
    </row>
    <row r="827" spans="1:9" x14ac:dyDescent="0.25">
      <c r="A827" s="579" t="s">
        <v>2065</v>
      </c>
      <c r="B827" s="609" t="s">
        <v>315</v>
      </c>
      <c r="C827" s="558">
        <v>92904</v>
      </c>
      <c r="D827" s="416" t="s">
        <v>2066</v>
      </c>
      <c r="E827" s="414" t="s">
        <v>323</v>
      </c>
      <c r="F827" s="457">
        <v>6</v>
      </c>
      <c r="G827" s="457">
        <v>16.86</v>
      </c>
      <c r="H827" s="432">
        <f t="shared" si="56"/>
        <v>21.063198</v>
      </c>
      <c r="I827" s="433">
        <f t="shared" si="55"/>
        <v>126.38</v>
      </c>
    </row>
    <row r="828" spans="1:9" x14ac:dyDescent="0.25">
      <c r="A828" s="579" t="s">
        <v>2067</v>
      </c>
      <c r="B828" s="609" t="s">
        <v>315</v>
      </c>
      <c r="C828" s="558">
        <v>95248</v>
      </c>
      <c r="D828" s="416" t="s">
        <v>2068</v>
      </c>
      <c r="E828" s="414" t="s">
        <v>323</v>
      </c>
      <c r="F828" s="457">
        <v>6</v>
      </c>
      <c r="G828" s="457">
        <v>46.67</v>
      </c>
      <c r="H828" s="432">
        <f t="shared" si="56"/>
        <v>58.304831</v>
      </c>
      <c r="I828" s="433">
        <f t="shared" si="55"/>
        <v>349.83</v>
      </c>
    </row>
    <row r="829" spans="1:9" x14ac:dyDescent="0.25">
      <c r="A829" s="579" t="s">
        <v>2069</v>
      </c>
      <c r="B829" s="609" t="s">
        <v>320</v>
      </c>
      <c r="C829" s="558">
        <v>9092</v>
      </c>
      <c r="D829" s="416" t="s">
        <v>2070</v>
      </c>
      <c r="E829" s="414" t="s">
        <v>323</v>
      </c>
      <c r="F829" s="457">
        <v>3</v>
      </c>
      <c r="G829" s="457">
        <v>543.73</v>
      </c>
      <c r="H829" s="432">
        <f t="shared" si="56"/>
        <v>679.28188899999998</v>
      </c>
      <c r="I829" s="433">
        <f t="shared" si="55"/>
        <v>2037.85</v>
      </c>
    </row>
    <row r="830" spans="1:9" x14ac:dyDescent="0.25">
      <c r="A830" s="579" t="s">
        <v>2071</v>
      </c>
      <c r="B830" s="609" t="s">
        <v>315</v>
      </c>
      <c r="C830" s="558">
        <v>92692</v>
      </c>
      <c r="D830" s="416" t="s">
        <v>2072</v>
      </c>
      <c r="E830" s="414" t="s">
        <v>323</v>
      </c>
      <c r="F830" s="457">
        <v>8</v>
      </c>
      <c r="G830" s="457">
        <v>6.94</v>
      </c>
      <c r="H830" s="432">
        <f t="shared" si="56"/>
        <v>8.6701420000000002</v>
      </c>
      <c r="I830" s="433">
        <f t="shared" si="55"/>
        <v>69.36</v>
      </c>
    </row>
    <row r="831" spans="1:9" x14ac:dyDescent="0.25">
      <c r="A831" s="579" t="s">
        <v>2073</v>
      </c>
      <c r="B831" s="609" t="s">
        <v>320</v>
      </c>
      <c r="C831" s="558">
        <v>666</v>
      </c>
      <c r="D831" s="416" t="s">
        <v>2074</v>
      </c>
      <c r="E831" s="414" t="s">
        <v>323</v>
      </c>
      <c r="F831" s="457">
        <v>3</v>
      </c>
      <c r="G831" s="457">
        <v>55</v>
      </c>
      <c r="H831" s="432">
        <f t="shared" si="56"/>
        <v>68.711500000000001</v>
      </c>
      <c r="I831" s="433">
        <f t="shared" si="55"/>
        <v>206.13</v>
      </c>
    </row>
    <row r="832" spans="1:9" x14ac:dyDescent="0.25">
      <c r="A832" s="579"/>
      <c r="B832" s="609"/>
      <c r="C832" s="558"/>
      <c r="D832" s="458" t="s">
        <v>2075</v>
      </c>
      <c r="E832" s="414"/>
      <c r="F832" s="457"/>
      <c r="G832" s="457"/>
      <c r="H832" s="432"/>
      <c r="I832" s="433"/>
    </row>
    <row r="833" spans="1:9" x14ac:dyDescent="0.25">
      <c r="A833" s="579" t="s">
        <v>2076</v>
      </c>
      <c r="B833" s="609" t="s">
        <v>320</v>
      </c>
      <c r="C833" s="558">
        <v>739161</v>
      </c>
      <c r="D833" s="416" t="s">
        <v>2077</v>
      </c>
      <c r="E833" s="414" t="s">
        <v>323</v>
      </c>
      <c r="F833" s="457">
        <v>3</v>
      </c>
      <c r="G833" s="457">
        <v>31.02</v>
      </c>
      <c r="H833" s="432">
        <f t="shared" si="56"/>
        <v>38.753286000000003</v>
      </c>
      <c r="I833" s="433">
        <f t="shared" si="55"/>
        <v>116.26</v>
      </c>
    </row>
    <row r="834" spans="1:9" x14ac:dyDescent="0.25">
      <c r="A834" s="579" t="s">
        <v>2078</v>
      </c>
      <c r="B834" s="609" t="s">
        <v>320</v>
      </c>
      <c r="C834" s="558">
        <v>739161</v>
      </c>
      <c r="D834" s="416" t="s">
        <v>2079</v>
      </c>
      <c r="E834" s="414" t="s">
        <v>323</v>
      </c>
      <c r="F834" s="457">
        <v>9</v>
      </c>
      <c r="G834" s="457">
        <v>31.02</v>
      </c>
      <c r="H834" s="432">
        <f t="shared" si="56"/>
        <v>38.753286000000003</v>
      </c>
      <c r="I834" s="433">
        <f t="shared" si="55"/>
        <v>348.78</v>
      </c>
    </row>
    <row r="835" spans="1:9" x14ac:dyDescent="0.25">
      <c r="A835" s="579" t="s">
        <v>2080</v>
      </c>
      <c r="B835" s="609" t="s">
        <v>315</v>
      </c>
      <c r="C835" s="558">
        <v>83635</v>
      </c>
      <c r="D835" s="416" t="s">
        <v>2081</v>
      </c>
      <c r="E835" s="414" t="s">
        <v>323</v>
      </c>
      <c r="F835" s="457">
        <v>3</v>
      </c>
      <c r="G835" s="457">
        <v>193.4</v>
      </c>
      <c r="H835" s="432">
        <f t="shared" si="56"/>
        <v>241.61462</v>
      </c>
      <c r="I835" s="433">
        <f t="shared" si="55"/>
        <v>724.84</v>
      </c>
    </row>
    <row r="836" spans="1:9" x14ac:dyDescent="0.25">
      <c r="A836" s="579" t="s">
        <v>2082</v>
      </c>
      <c r="B836" s="609" t="s">
        <v>315</v>
      </c>
      <c r="C836" s="558">
        <v>84665</v>
      </c>
      <c r="D836" s="416" t="s">
        <v>2083</v>
      </c>
      <c r="E836" s="414" t="s">
        <v>323</v>
      </c>
      <c r="F836" s="457">
        <v>3</v>
      </c>
      <c r="G836" s="457">
        <v>14.36</v>
      </c>
      <c r="H836" s="432">
        <f t="shared" si="56"/>
        <v>17.939948000000001</v>
      </c>
      <c r="I836" s="433">
        <f t="shared" si="55"/>
        <v>53.82</v>
      </c>
    </row>
    <row r="837" spans="1:9" x14ac:dyDescent="0.25">
      <c r="A837" s="579" t="s">
        <v>2084</v>
      </c>
      <c r="B837" s="609" t="s">
        <v>315</v>
      </c>
      <c r="C837" s="558">
        <v>94975</v>
      </c>
      <c r="D837" s="416" t="s">
        <v>2085</v>
      </c>
      <c r="E837" s="414" t="s">
        <v>397</v>
      </c>
      <c r="F837" s="457">
        <v>6.0749999999999998E-2</v>
      </c>
      <c r="G837" s="457">
        <v>346.18</v>
      </c>
      <c r="H837" s="432">
        <f t="shared" si="56"/>
        <v>432.48267399999997</v>
      </c>
      <c r="I837" s="433">
        <f t="shared" si="55"/>
        <v>26.27</v>
      </c>
    </row>
    <row r="838" spans="1:9" x14ac:dyDescent="0.25">
      <c r="A838" s="579"/>
      <c r="B838" s="609"/>
      <c r="C838" s="558"/>
      <c r="D838" s="458" t="s">
        <v>2086</v>
      </c>
      <c r="E838" s="414"/>
      <c r="F838" s="457"/>
      <c r="G838" s="457"/>
      <c r="H838" s="432"/>
      <c r="I838" s="433"/>
    </row>
    <row r="839" spans="1:9" x14ac:dyDescent="0.25">
      <c r="A839" s="579" t="s">
        <v>2087</v>
      </c>
      <c r="B839" s="609" t="s">
        <v>315</v>
      </c>
      <c r="C839" s="558">
        <v>6110</v>
      </c>
      <c r="D839" s="416" t="s">
        <v>2088</v>
      </c>
      <c r="E839" s="414" t="s">
        <v>397</v>
      </c>
      <c r="F839" s="457">
        <v>0.44240000000000013</v>
      </c>
      <c r="G839" s="457">
        <v>500.22</v>
      </c>
      <c r="H839" s="432">
        <f t="shared" si="56"/>
        <v>624.924846</v>
      </c>
      <c r="I839" s="433">
        <f t="shared" si="55"/>
        <v>276.47000000000003</v>
      </c>
    </row>
    <row r="840" spans="1:9" x14ac:dyDescent="0.25">
      <c r="A840" s="579" t="s">
        <v>2089</v>
      </c>
      <c r="B840" s="609" t="s">
        <v>315</v>
      </c>
      <c r="C840" s="558">
        <v>83534</v>
      </c>
      <c r="D840" s="416" t="s">
        <v>2090</v>
      </c>
      <c r="E840" s="414" t="s">
        <v>397</v>
      </c>
      <c r="F840" s="457">
        <v>0.42075000000000001</v>
      </c>
      <c r="G840" s="457">
        <v>442.58</v>
      </c>
      <c r="H840" s="432">
        <f t="shared" si="56"/>
        <v>552.91519399999993</v>
      </c>
      <c r="I840" s="433">
        <f t="shared" si="55"/>
        <v>232.64</v>
      </c>
    </row>
    <row r="841" spans="1:9" x14ac:dyDescent="0.25">
      <c r="A841" s="579" t="s">
        <v>2091</v>
      </c>
      <c r="B841" s="609" t="s">
        <v>315</v>
      </c>
      <c r="C841" s="558">
        <v>89043</v>
      </c>
      <c r="D841" s="416" t="s">
        <v>2092</v>
      </c>
      <c r="E841" s="414" t="s">
        <v>378</v>
      </c>
      <c r="F841" s="457">
        <v>17.380000000000003</v>
      </c>
      <c r="G841" s="457">
        <v>50.04</v>
      </c>
      <c r="H841" s="432">
        <f t="shared" si="56"/>
        <v>62.514972</v>
      </c>
      <c r="I841" s="433">
        <f t="shared" si="55"/>
        <v>1086.51</v>
      </c>
    </row>
    <row r="842" spans="1:9" x14ac:dyDescent="0.25">
      <c r="A842" s="579" t="s">
        <v>2093</v>
      </c>
      <c r="B842" s="609" t="s">
        <v>315</v>
      </c>
      <c r="C842" s="558" t="s">
        <v>612</v>
      </c>
      <c r="D842" s="416" t="s">
        <v>2094</v>
      </c>
      <c r="E842" s="414" t="s">
        <v>378</v>
      </c>
      <c r="F842" s="457">
        <v>13.4</v>
      </c>
      <c r="G842" s="457">
        <v>56.81</v>
      </c>
      <c r="H842" s="432">
        <f t="shared" si="56"/>
        <v>70.972733000000005</v>
      </c>
      <c r="I842" s="433">
        <f t="shared" si="55"/>
        <v>951.03</v>
      </c>
    </row>
    <row r="843" spans="1:9" x14ac:dyDescent="0.25">
      <c r="A843" s="579" t="s">
        <v>2095</v>
      </c>
      <c r="B843" s="609" t="s">
        <v>315</v>
      </c>
      <c r="C843" s="558">
        <v>87792</v>
      </c>
      <c r="D843" s="416" t="s">
        <v>2096</v>
      </c>
      <c r="E843" s="414" t="s">
        <v>378</v>
      </c>
      <c r="F843" s="457">
        <v>34.760000000000005</v>
      </c>
      <c r="G843" s="457">
        <v>20.18</v>
      </c>
      <c r="H843" s="432">
        <f t="shared" si="56"/>
        <v>25.210874</v>
      </c>
      <c r="I843" s="433">
        <f t="shared" si="55"/>
        <v>876.33</v>
      </c>
    </row>
    <row r="844" spans="1:9" x14ac:dyDescent="0.25">
      <c r="A844" s="579" t="s">
        <v>2097</v>
      </c>
      <c r="B844" s="609" t="s">
        <v>315</v>
      </c>
      <c r="C844" s="558">
        <v>72140</v>
      </c>
      <c r="D844" s="416" t="s">
        <v>2098</v>
      </c>
      <c r="E844" s="414" t="s">
        <v>378</v>
      </c>
      <c r="F844" s="457">
        <v>3.9000000000000004</v>
      </c>
      <c r="G844" s="457">
        <v>344.23</v>
      </c>
      <c r="H844" s="432">
        <f t="shared" si="56"/>
        <v>430.04653900000005</v>
      </c>
      <c r="I844" s="433">
        <f t="shared" si="55"/>
        <v>1677.18</v>
      </c>
    </row>
    <row r="845" spans="1:9" x14ac:dyDescent="0.25">
      <c r="A845" s="579" t="s">
        <v>2099</v>
      </c>
      <c r="B845" s="609" t="s">
        <v>315</v>
      </c>
      <c r="C845" s="558">
        <v>72140</v>
      </c>
      <c r="D845" s="416" t="s">
        <v>2100</v>
      </c>
      <c r="E845" s="414" t="s">
        <v>378</v>
      </c>
      <c r="F845" s="457">
        <v>12.4</v>
      </c>
      <c r="G845" s="457">
        <v>344.23</v>
      </c>
      <c r="H845" s="432">
        <f t="shared" si="56"/>
        <v>430.04653900000005</v>
      </c>
      <c r="I845" s="433">
        <f t="shared" si="55"/>
        <v>5332.58</v>
      </c>
    </row>
    <row r="846" spans="1:9" x14ac:dyDescent="0.25">
      <c r="A846" s="579" t="s">
        <v>2101</v>
      </c>
      <c r="B846" s="609" t="s">
        <v>315</v>
      </c>
      <c r="C846" s="558">
        <v>88416</v>
      </c>
      <c r="D846" s="416" t="s">
        <v>2102</v>
      </c>
      <c r="E846" s="414" t="s">
        <v>378</v>
      </c>
      <c r="F846" s="457">
        <v>34.760000000000005</v>
      </c>
      <c r="G846" s="457">
        <v>12.18</v>
      </c>
      <c r="H846" s="432">
        <f t="shared" si="56"/>
        <v>15.216474</v>
      </c>
      <c r="I846" s="433">
        <f t="shared" si="55"/>
        <v>528.91999999999996</v>
      </c>
    </row>
    <row r="847" spans="1:9" x14ac:dyDescent="0.25">
      <c r="A847" s="580"/>
      <c r="B847" s="608"/>
      <c r="C847" s="594"/>
      <c r="D847" s="416"/>
      <c r="E847" s="414"/>
      <c r="F847" s="457"/>
      <c r="G847" s="457"/>
      <c r="H847" s="432"/>
      <c r="I847" s="433"/>
    </row>
    <row r="848" spans="1:9" x14ac:dyDescent="0.25">
      <c r="A848" s="577" t="s">
        <v>2103</v>
      </c>
      <c r="B848" s="604"/>
      <c r="C848" s="588"/>
      <c r="D848" s="446" t="s">
        <v>2104</v>
      </c>
      <c r="E848" s="447"/>
      <c r="F848" s="448"/>
      <c r="G848" s="448"/>
      <c r="H848" s="448"/>
      <c r="I848" s="449">
        <f>SUM(I849:I876)</f>
        <v>1049724.4200000002</v>
      </c>
    </row>
    <row r="849" spans="1:9" ht="57" x14ac:dyDescent="0.25">
      <c r="A849" s="579" t="s">
        <v>2105</v>
      </c>
      <c r="B849" s="624" t="s">
        <v>325</v>
      </c>
      <c r="C849" s="600"/>
      <c r="D849" s="434" t="s">
        <v>2106</v>
      </c>
      <c r="E849" s="435" t="s">
        <v>1914</v>
      </c>
      <c r="F849" s="436">
        <v>2</v>
      </c>
      <c r="G849" s="422">
        <v>108700</v>
      </c>
      <c r="H849" s="382">
        <f t="shared" si="56"/>
        <v>135798.91</v>
      </c>
      <c r="I849" s="383">
        <f t="shared" ref="I849:I875" si="57">ROUND(H849*F849,2)</f>
        <v>271597.82</v>
      </c>
    </row>
    <row r="850" spans="1:9" x14ac:dyDescent="0.25">
      <c r="A850" s="579" t="s">
        <v>2107</v>
      </c>
      <c r="B850" s="624" t="s">
        <v>325</v>
      </c>
      <c r="C850" s="600"/>
      <c r="D850" s="434" t="s">
        <v>2108</v>
      </c>
      <c r="E850" s="435" t="s">
        <v>1914</v>
      </c>
      <c r="F850" s="436">
        <v>19</v>
      </c>
      <c r="G850" s="464">
        <f>65*1.35</f>
        <v>87.75</v>
      </c>
      <c r="H850" s="382">
        <f t="shared" si="56"/>
        <v>109.626075</v>
      </c>
      <c r="I850" s="383">
        <f t="shared" si="57"/>
        <v>2082.9</v>
      </c>
    </row>
    <row r="851" spans="1:9" ht="28.5" x14ac:dyDescent="0.25">
      <c r="A851" s="579" t="s">
        <v>2109</v>
      </c>
      <c r="B851" s="624" t="s">
        <v>325</v>
      </c>
      <c r="C851" s="600"/>
      <c r="D851" s="437" t="s">
        <v>2110</v>
      </c>
      <c r="E851" s="435" t="s">
        <v>1914</v>
      </c>
      <c r="F851" s="436">
        <v>1</v>
      </c>
      <c r="G851" s="464">
        <v>10550</v>
      </c>
      <c r="H851" s="382">
        <f t="shared" si="56"/>
        <v>13180.115</v>
      </c>
      <c r="I851" s="383">
        <f t="shared" si="57"/>
        <v>13180.12</v>
      </c>
    </row>
    <row r="852" spans="1:9" ht="28.5" x14ac:dyDescent="0.25">
      <c r="A852" s="579" t="s">
        <v>2111</v>
      </c>
      <c r="B852" s="624" t="s">
        <v>320</v>
      </c>
      <c r="C852" s="601" t="s">
        <v>2112</v>
      </c>
      <c r="D852" s="434" t="s">
        <v>2113</v>
      </c>
      <c r="E852" s="435"/>
      <c r="F852" s="436">
        <v>1</v>
      </c>
      <c r="G852" s="436">
        <v>1477.97</v>
      </c>
      <c r="H852" s="382">
        <f t="shared" si="56"/>
        <v>1846.427921</v>
      </c>
      <c r="I852" s="383">
        <f t="shared" si="57"/>
        <v>1846.43</v>
      </c>
    </row>
    <row r="853" spans="1:9" ht="42.75" x14ac:dyDescent="0.25">
      <c r="A853" s="579" t="s">
        <v>2114</v>
      </c>
      <c r="B853" s="624" t="s">
        <v>325</v>
      </c>
      <c r="C853" s="600"/>
      <c r="D853" s="434" t="s">
        <v>2115</v>
      </c>
      <c r="E853" s="435" t="s">
        <v>1914</v>
      </c>
      <c r="F853" s="436">
        <v>2</v>
      </c>
      <c r="G853" s="422">
        <v>54333.33</v>
      </c>
      <c r="H853" s="382">
        <f t="shared" si="56"/>
        <v>67878.629169000007</v>
      </c>
      <c r="I853" s="383">
        <f t="shared" si="57"/>
        <v>135757.26</v>
      </c>
    </row>
    <row r="854" spans="1:9" x14ac:dyDescent="0.25">
      <c r="A854" s="579" t="s">
        <v>2116</v>
      </c>
      <c r="B854" s="624" t="s">
        <v>325</v>
      </c>
      <c r="C854" s="600"/>
      <c r="D854" s="438" t="s">
        <v>2117</v>
      </c>
      <c r="E854" s="435" t="s">
        <v>1914</v>
      </c>
      <c r="F854" s="436">
        <v>13</v>
      </c>
      <c r="G854" s="464">
        <f>15*1.35</f>
        <v>20.25</v>
      </c>
      <c r="H854" s="382">
        <f t="shared" si="56"/>
        <v>25.298324999999998</v>
      </c>
      <c r="I854" s="383">
        <f t="shared" si="57"/>
        <v>328.88</v>
      </c>
    </row>
    <row r="855" spans="1:9" x14ac:dyDescent="0.25">
      <c r="A855" s="579" t="s">
        <v>2118</v>
      </c>
      <c r="B855" s="624" t="s">
        <v>325</v>
      </c>
      <c r="C855" s="600"/>
      <c r="D855" s="438" t="s">
        <v>2119</v>
      </c>
      <c r="E855" s="435" t="s">
        <v>1914</v>
      </c>
      <c r="F855" s="436">
        <v>19</v>
      </c>
      <c r="G855" s="464">
        <f>15*1.35</f>
        <v>20.25</v>
      </c>
      <c r="H855" s="382">
        <f t="shared" si="56"/>
        <v>25.298324999999998</v>
      </c>
      <c r="I855" s="383">
        <f t="shared" si="57"/>
        <v>480.67</v>
      </c>
    </row>
    <row r="856" spans="1:9" x14ac:dyDescent="0.25">
      <c r="A856" s="579" t="s">
        <v>2120</v>
      </c>
      <c r="B856" s="624" t="s">
        <v>325</v>
      </c>
      <c r="C856" s="600"/>
      <c r="D856" s="439" t="s">
        <v>2121</v>
      </c>
      <c r="E856" s="435" t="s">
        <v>1914</v>
      </c>
      <c r="F856" s="436">
        <v>13</v>
      </c>
      <c r="G856" s="464">
        <f>479.9*1.35</f>
        <v>647.86500000000001</v>
      </c>
      <c r="H856" s="382">
        <f t="shared" si="56"/>
        <v>809.37774450000006</v>
      </c>
      <c r="I856" s="383">
        <f t="shared" si="57"/>
        <v>10521.91</v>
      </c>
    </row>
    <row r="857" spans="1:9" x14ac:dyDescent="0.25">
      <c r="A857" s="579" t="s">
        <v>2122</v>
      </c>
      <c r="B857" s="624" t="s">
        <v>325</v>
      </c>
      <c r="C857" s="600"/>
      <c r="D857" s="439" t="s">
        <v>2123</v>
      </c>
      <c r="E857" s="435" t="s">
        <v>1914</v>
      </c>
      <c r="F857" s="436">
        <v>2</v>
      </c>
      <c r="G857" s="464">
        <f>479.9*1.35</f>
        <v>647.86500000000001</v>
      </c>
      <c r="H857" s="382">
        <f t="shared" si="56"/>
        <v>809.37774450000006</v>
      </c>
      <c r="I857" s="383">
        <f t="shared" si="57"/>
        <v>1618.76</v>
      </c>
    </row>
    <row r="858" spans="1:9" x14ac:dyDescent="0.25">
      <c r="A858" s="579" t="s">
        <v>2124</v>
      </c>
      <c r="B858" s="624" t="s">
        <v>325</v>
      </c>
      <c r="C858" s="600"/>
      <c r="D858" s="439" t="s">
        <v>2125</v>
      </c>
      <c r="E858" s="435" t="s">
        <v>1914</v>
      </c>
      <c r="F858" s="436">
        <v>13</v>
      </c>
      <c r="G858" s="464">
        <f>479.9*1.35</f>
        <v>647.86500000000001</v>
      </c>
      <c r="H858" s="382">
        <f t="shared" si="56"/>
        <v>809.37774450000006</v>
      </c>
      <c r="I858" s="383">
        <f t="shared" si="57"/>
        <v>10521.91</v>
      </c>
    </row>
    <row r="859" spans="1:9" x14ac:dyDescent="0.25">
      <c r="A859" s="579" t="s">
        <v>2126</v>
      </c>
      <c r="B859" s="624" t="s">
        <v>325</v>
      </c>
      <c r="C859" s="600"/>
      <c r="D859" s="439" t="s">
        <v>2127</v>
      </c>
      <c r="E859" s="435" t="s">
        <v>1914</v>
      </c>
      <c r="F859" s="436">
        <v>13</v>
      </c>
      <c r="G859" s="464">
        <f>479.9*1.35</f>
        <v>647.86500000000001</v>
      </c>
      <c r="H859" s="382">
        <f t="shared" si="56"/>
        <v>809.37774450000006</v>
      </c>
      <c r="I859" s="383">
        <f t="shared" si="57"/>
        <v>10521.91</v>
      </c>
    </row>
    <row r="860" spans="1:9" ht="42.75" x14ac:dyDescent="0.25">
      <c r="A860" s="579" t="s">
        <v>2128</v>
      </c>
      <c r="B860" s="624" t="s">
        <v>320</v>
      </c>
      <c r="C860" s="600" t="s">
        <v>2129</v>
      </c>
      <c r="D860" s="434" t="s">
        <v>2130</v>
      </c>
      <c r="E860" s="435" t="s">
        <v>1914</v>
      </c>
      <c r="F860" s="436">
        <v>248</v>
      </c>
      <c r="G860" s="464">
        <v>947.03</v>
      </c>
      <c r="H860" s="382">
        <f t="shared" si="56"/>
        <v>1183.124579</v>
      </c>
      <c r="I860" s="383">
        <f t="shared" si="57"/>
        <v>293414.90000000002</v>
      </c>
    </row>
    <row r="861" spans="1:9" x14ac:dyDescent="0.25">
      <c r="A861" s="579" t="s">
        <v>2131</v>
      </c>
      <c r="B861" s="624" t="s">
        <v>315</v>
      </c>
      <c r="C861" s="600" t="s">
        <v>2132</v>
      </c>
      <c r="D861" s="419" t="s">
        <v>2133</v>
      </c>
      <c r="E861" s="440" t="s">
        <v>378</v>
      </c>
      <c r="F861" s="441">
        <v>256.10000000000002</v>
      </c>
      <c r="G861" s="425">
        <v>11.75</v>
      </c>
      <c r="H861" s="382">
        <f t="shared" si="56"/>
        <v>14.679275000000001</v>
      </c>
      <c r="I861" s="383">
        <f t="shared" si="57"/>
        <v>3759.36</v>
      </c>
    </row>
    <row r="862" spans="1:9" x14ac:dyDescent="0.25">
      <c r="A862" s="579" t="s">
        <v>2134</v>
      </c>
      <c r="B862" s="624" t="s">
        <v>325</v>
      </c>
      <c r="C862" s="600"/>
      <c r="D862" s="439" t="s">
        <v>2135</v>
      </c>
      <c r="E862" s="435" t="s">
        <v>1914</v>
      </c>
      <c r="F862" s="436">
        <v>13</v>
      </c>
      <c r="G862" s="464">
        <v>67.3</v>
      </c>
      <c r="H862" s="382">
        <f t="shared" si="56"/>
        <v>84.077889999999996</v>
      </c>
      <c r="I862" s="383">
        <f t="shared" si="57"/>
        <v>1093.01</v>
      </c>
    </row>
    <row r="863" spans="1:9" x14ac:dyDescent="0.25">
      <c r="A863" s="579" t="s">
        <v>2136</v>
      </c>
      <c r="B863" s="608" t="s">
        <v>325</v>
      </c>
      <c r="C863" s="600"/>
      <c r="D863" s="439" t="s">
        <v>2137</v>
      </c>
      <c r="E863" s="435" t="s">
        <v>1914</v>
      </c>
      <c r="F863" s="436">
        <v>2</v>
      </c>
      <c r="G863" s="464">
        <v>67.3</v>
      </c>
      <c r="H863" s="382">
        <f t="shared" si="56"/>
        <v>84.077889999999996</v>
      </c>
      <c r="I863" s="383">
        <f t="shared" si="57"/>
        <v>168.16</v>
      </c>
    </row>
    <row r="864" spans="1:9" x14ac:dyDescent="0.25">
      <c r="A864" s="579" t="s">
        <v>2138</v>
      </c>
      <c r="B864" s="608" t="s">
        <v>325</v>
      </c>
      <c r="C864" s="600"/>
      <c r="D864" s="439" t="s">
        <v>2139</v>
      </c>
      <c r="E864" s="435" t="s">
        <v>1914</v>
      </c>
      <c r="F864" s="436">
        <v>13</v>
      </c>
      <c r="G864" s="464">
        <v>67.3</v>
      </c>
      <c r="H864" s="382">
        <f t="shared" si="56"/>
        <v>84.077889999999996</v>
      </c>
      <c r="I864" s="383">
        <f t="shared" si="57"/>
        <v>1093.01</v>
      </c>
    </row>
    <row r="865" spans="1:9" x14ac:dyDescent="0.25">
      <c r="A865" s="579" t="s">
        <v>2140</v>
      </c>
      <c r="B865" s="608" t="s">
        <v>325</v>
      </c>
      <c r="C865" s="600"/>
      <c r="D865" s="439" t="s">
        <v>2141</v>
      </c>
      <c r="E865" s="435" t="s">
        <v>1914</v>
      </c>
      <c r="F865" s="436">
        <v>13</v>
      </c>
      <c r="G865" s="464">
        <v>67.3</v>
      </c>
      <c r="H865" s="382">
        <f t="shared" si="56"/>
        <v>84.077889999999996</v>
      </c>
      <c r="I865" s="383">
        <f t="shared" si="57"/>
        <v>1093.01</v>
      </c>
    </row>
    <row r="866" spans="1:9" x14ac:dyDescent="0.25">
      <c r="A866" s="579" t="s">
        <v>2142</v>
      </c>
      <c r="B866" s="608" t="s">
        <v>601</v>
      </c>
      <c r="C866" s="601" t="s">
        <v>2143</v>
      </c>
      <c r="D866" s="438" t="s">
        <v>2144</v>
      </c>
      <c r="E866" s="435" t="s">
        <v>374</v>
      </c>
      <c r="F866" s="436">
        <v>3989</v>
      </c>
      <c r="G866" s="464">
        <v>36.46</v>
      </c>
      <c r="H866" s="382">
        <f t="shared" si="56"/>
        <v>45.549478000000001</v>
      </c>
      <c r="I866" s="383">
        <f t="shared" si="57"/>
        <v>181696.87</v>
      </c>
    </row>
    <row r="867" spans="1:9" x14ac:dyDescent="0.25">
      <c r="A867" s="579" t="s">
        <v>2145</v>
      </c>
      <c r="B867" s="608" t="s">
        <v>601</v>
      </c>
      <c r="C867" s="601" t="s">
        <v>2146</v>
      </c>
      <c r="D867" s="438" t="s">
        <v>2147</v>
      </c>
      <c r="E867" s="435" t="s">
        <v>374</v>
      </c>
      <c r="F867" s="436">
        <v>77</v>
      </c>
      <c r="G867" s="464">
        <v>58.15</v>
      </c>
      <c r="H867" s="382">
        <f t="shared" si="56"/>
        <v>72.646794999999997</v>
      </c>
      <c r="I867" s="383">
        <f t="shared" si="57"/>
        <v>5593.8</v>
      </c>
    </row>
    <row r="868" spans="1:9" x14ac:dyDescent="0.25">
      <c r="A868" s="579" t="s">
        <v>2148</v>
      </c>
      <c r="B868" s="608" t="s">
        <v>601</v>
      </c>
      <c r="C868" s="601" t="s">
        <v>2149</v>
      </c>
      <c r="D868" s="438" t="s">
        <v>2150</v>
      </c>
      <c r="E868" s="435" t="s">
        <v>374</v>
      </c>
      <c r="F868" s="436">
        <v>590</v>
      </c>
      <c r="G868" s="464">
        <v>80.5</v>
      </c>
      <c r="H868" s="382">
        <f t="shared" si="56"/>
        <v>100.56864999999999</v>
      </c>
      <c r="I868" s="383">
        <f t="shared" si="57"/>
        <v>59335.5</v>
      </c>
    </row>
    <row r="869" spans="1:9" x14ac:dyDescent="0.25">
      <c r="A869" s="579" t="s">
        <v>2151</v>
      </c>
      <c r="B869" s="608" t="s">
        <v>601</v>
      </c>
      <c r="C869" s="601" t="s">
        <v>2152</v>
      </c>
      <c r="D869" s="438" t="s">
        <v>2153</v>
      </c>
      <c r="E869" s="435" t="s">
        <v>374</v>
      </c>
      <c r="F869" s="436">
        <v>150</v>
      </c>
      <c r="G869" s="464">
        <v>117.52</v>
      </c>
      <c r="H869" s="382">
        <f t="shared" si="56"/>
        <v>146.817736</v>
      </c>
      <c r="I869" s="383">
        <f t="shared" si="57"/>
        <v>22022.66</v>
      </c>
    </row>
    <row r="870" spans="1:9" x14ac:dyDescent="0.25">
      <c r="A870" s="579" t="s">
        <v>2154</v>
      </c>
      <c r="B870" s="608" t="s">
        <v>601</v>
      </c>
      <c r="C870" s="601" t="s">
        <v>2155</v>
      </c>
      <c r="D870" s="438" t="s">
        <v>2156</v>
      </c>
      <c r="E870" s="435" t="s">
        <v>374</v>
      </c>
      <c r="F870" s="436">
        <v>77</v>
      </c>
      <c r="G870" s="464">
        <v>185.43</v>
      </c>
      <c r="H870" s="382">
        <f t="shared" si="56"/>
        <v>231.65769900000001</v>
      </c>
      <c r="I870" s="383">
        <f t="shared" si="57"/>
        <v>17837.64</v>
      </c>
    </row>
    <row r="871" spans="1:9" x14ac:dyDescent="0.25">
      <c r="A871" s="579" t="s">
        <v>2157</v>
      </c>
      <c r="B871" s="608" t="s">
        <v>601</v>
      </c>
      <c r="C871" s="600" t="s">
        <v>2158</v>
      </c>
      <c r="D871" s="419" t="s">
        <v>2159</v>
      </c>
      <c r="E871" s="440" t="s">
        <v>1914</v>
      </c>
      <c r="F871" s="441">
        <v>2</v>
      </c>
      <c r="G871" s="425">
        <v>180.75</v>
      </c>
      <c r="H871" s="382">
        <f t="shared" si="56"/>
        <v>225.81097499999998</v>
      </c>
      <c r="I871" s="383">
        <f t="shared" si="57"/>
        <v>451.62</v>
      </c>
    </row>
    <row r="872" spans="1:9" x14ac:dyDescent="0.25">
      <c r="A872" s="579" t="s">
        <v>2160</v>
      </c>
      <c r="B872" s="608" t="s">
        <v>601</v>
      </c>
      <c r="C872" s="600" t="s">
        <v>2161</v>
      </c>
      <c r="D872" s="419" t="s">
        <v>2162</v>
      </c>
      <c r="E872" s="440" t="s">
        <v>1914</v>
      </c>
      <c r="F872" s="441">
        <v>2</v>
      </c>
      <c r="G872" s="425">
        <v>130.66</v>
      </c>
      <c r="H872" s="382">
        <f t="shared" si="56"/>
        <v>163.23353800000001</v>
      </c>
      <c r="I872" s="383">
        <f t="shared" si="57"/>
        <v>326.47000000000003</v>
      </c>
    </row>
    <row r="873" spans="1:9" x14ac:dyDescent="0.25">
      <c r="A873" s="579" t="s">
        <v>2163</v>
      </c>
      <c r="B873" s="608" t="s">
        <v>601</v>
      </c>
      <c r="C873" s="600" t="s">
        <v>2164</v>
      </c>
      <c r="D873" s="419" t="s">
        <v>2165</v>
      </c>
      <c r="E873" s="440" t="s">
        <v>1914</v>
      </c>
      <c r="F873" s="441">
        <v>10</v>
      </c>
      <c r="G873" s="425">
        <v>108.83</v>
      </c>
      <c r="H873" s="382">
        <f t="shared" si="56"/>
        <v>135.961319</v>
      </c>
      <c r="I873" s="383">
        <f t="shared" si="57"/>
        <v>1359.61</v>
      </c>
    </row>
    <row r="874" spans="1:9" x14ac:dyDescent="0.25">
      <c r="A874" s="579" t="s">
        <v>2166</v>
      </c>
      <c r="B874" s="608" t="s">
        <v>601</v>
      </c>
      <c r="C874" s="600" t="s">
        <v>2167</v>
      </c>
      <c r="D874" s="419" t="s">
        <v>2168</v>
      </c>
      <c r="E874" s="440" t="s">
        <v>1914</v>
      </c>
      <c r="F874" s="441">
        <v>11</v>
      </c>
      <c r="G874" s="425">
        <v>71.09</v>
      </c>
      <c r="H874" s="382">
        <f t="shared" si="56"/>
        <v>88.812736999999998</v>
      </c>
      <c r="I874" s="383">
        <f t="shared" si="57"/>
        <v>976.94</v>
      </c>
    </row>
    <row r="875" spans="1:9" x14ac:dyDescent="0.25">
      <c r="A875" s="579" t="s">
        <v>2169</v>
      </c>
      <c r="B875" s="608" t="s">
        <v>601</v>
      </c>
      <c r="C875" s="600" t="s">
        <v>2170</v>
      </c>
      <c r="D875" s="419" t="s">
        <v>2171</v>
      </c>
      <c r="E875" s="440" t="s">
        <v>1914</v>
      </c>
      <c r="F875" s="441">
        <v>10</v>
      </c>
      <c r="G875" s="425">
        <v>83.51</v>
      </c>
      <c r="H875" s="382">
        <f t="shared" si="56"/>
        <v>104.32904300000001</v>
      </c>
      <c r="I875" s="383">
        <f t="shared" si="57"/>
        <v>1043.29</v>
      </c>
    </row>
    <row r="876" spans="1:9" x14ac:dyDescent="0.25">
      <c r="A876" s="580"/>
      <c r="B876" s="608"/>
      <c r="C876" s="594"/>
      <c r="D876" s="416"/>
      <c r="E876" s="414"/>
      <c r="F876" s="457"/>
      <c r="G876" s="457"/>
      <c r="H876" s="382"/>
      <c r="I876" s="383"/>
    </row>
    <row r="877" spans="1:9" x14ac:dyDescent="0.25">
      <c r="A877" s="577" t="s">
        <v>2172</v>
      </c>
      <c r="B877" s="604"/>
      <c r="C877" s="588"/>
      <c r="D877" s="446" t="s">
        <v>2173</v>
      </c>
      <c r="E877" s="447"/>
      <c r="F877" s="448"/>
      <c r="G877" s="448"/>
      <c r="H877" s="448"/>
      <c r="I877" s="449">
        <f>SUM(I878:I919)</f>
        <v>726267.49999999988</v>
      </c>
    </row>
    <row r="878" spans="1:9" x14ac:dyDescent="0.25">
      <c r="A878" s="579" t="s">
        <v>2174</v>
      </c>
      <c r="B878" s="608" t="s">
        <v>315</v>
      </c>
      <c r="C878" s="593">
        <v>6021</v>
      </c>
      <c r="D878" s="408" t="s">
        <v>2175</v>
      </c>
      <c r="E878" s="385" t="s">
        <v>721</v>
      </c>
      <c r="F878" s="454">
        <v>80</v>
      </c>
      <c r="G878" s="454">
        <v>175.65</v>
      </c>
      <c r="H878" s="382">
        <f t="shared" si="56"/>
        <v>219.43954500000001</v>
      </c>
      <c r="I878" s="383">
        <f t="shared" ref="I878:I919" si="58">ROUND(H878*F878,2)</f>
        <v>17555.16</v>
      </c>
    </row>
    <row r="879" spans="1:9" x14ac:dyDescent="0.25">
      <c r="A879" s="579" t="s">
        <v>2176</v>
      </c>
      <c r="B879" s="608" t="s">
        <v>315</v>
      </c>
      <c r="C879" s="594">
        <v>86888</v>
      </c>
      <c r="D879" s="408" t="s">
        <v>2177</v>
      </c>
      <c r="E879" s="385" t="s">
        <v>721</v>
      </c>
      <c r="F879" s="454">
        <v>71</v>
      </c>
      <c r="G879" s="454">
        <v>290.26</v>
      </c>
      <c r="H879" s="382">
        <f t="shared" ref="H879:H942" si="59">G879+(G879*$H$14)</f>
        <v>362.62181799999996</v>
      </c>
      <c r="I879" s="383">
        <f t="shared" si="58"/>
        <v>25746.15</v>
      </c>
    </row>
    <row r="880" spans="1:9" x14ac:dyDescent="0.25">
      <c r="A880" s="579" t="s">
        <v>2178</v>
      </c>
      <c r="B880" s="608" t="s">
        <v>2179</v>
      </c>
      <c r="C880" s="593">
        <v>2066</v>
      </c>
      <c r="D880" s="465" t="s">
        <v>2180</v>
      </c>
      <c r="E880" s="385" t="s">
        <v>721</v>
      </c>
      <c r="F880" s="454">
        <v>151</v>
      </c>
      <c r="G880" s="454">
        <v>31.5</v>
      </c>
      <c r="H880" s="382">
        <f t="shared" si="59"/>
        <v>39.35295</v>
      </c>
      <c r="I880" s="383">
        <f t="shared" si="58"/>
        <v>5942.3</v>
      </c>
    </row>
    <row r="881" spans="1:9" x14ac:dyDescent="0.25">
      <c r="A881" s="579" t="s">
        <v>2181</v>
      </c>
      <c r="B881" s="608" t="s">
        <v>2179</v>
      </c>
      <c r="C881" s="594">
        <v>7589</v>
      </c>
      <c r="D881" s="408" t="s">
        <v>2182</v>
      </c>
      <c r="E881" s="385" t="s">
        <v>721</v>
      </c>
      <c r="F881" s="454">
        <v>80</v>
      </c>
      <c r="G881" s="454">
        <v>259.99</v>
      </c>
      <c r="H881" s="382">
        <f t="shared" si="59"/>
        <v>324.80550700000003</v>
      </c>
      <c r="I881" s="383">
        <f t="shared" si="58"/>
        <v>25984.44</v>
      </c>
    </row>
    <row r="882" spans="1:9" x14ac:dyDescent="0.25">
      <c r="A882" s="579" t="s">
        <v>2183</v>
      </c>
      <c r="B882" s="608" t="s">
        <v>2184</v>
      </c>
      <c r="C882" s="594" t="s">
        <v>2185</v>
      </c>
      <c r="D882" s="408" t="s">
        <v>2186</v>
      </c>
      <c r="E882" s="385" t="s">
        <v>721</v>
      </c>
      <c r="F882" s="454">
        <v>151</v>
      </c>
      <c r="G882" s="454">
        <v>47.02</v>
      </c>
      <c r="H882" s="382">
        <f t="shared" si="59"/>
        <v>58.742086</v>
      </c>
      <c r="I882" s="383">
        <f t="shared" si="58"/>
        <v>8870.0499999999993</v>
      </c>
    </row>
    <row r="883" spans="1:9" x14ac:dyDescent="0.25">
      <c r="A883" s="579" t="s">
        <v>2187</v>
      </c>
      <c r="B883" s="608" t="s">
        <v>315</v>
      </c>
      <c r="C883" s="594">
        <v>86904</v>
      </c>
      <c r="D883" s="408" t="s">
        <v>2188</v>
      </c>
      <c r="E883" s="385" t="s">
        <v>721</v>
      </c>
      <c r="F883" s="454">
        <v>169</v>
      </c>
      <c r="G883" s="454">
        <v>74.28</v>
      </c>
      <c r="H883" s="382">
        <f t="shared" si="59"/>
        <v>92.798004000000006</v>
      </c>
      <c r="I883" s="383">
        <f t="shared" si="58"/>
        <v>15682.86</v>
      </c>
    </row>
    <row r="884" spans="1:9" x14ac:dyDescent="0.25">
      <c r="A884" s="579" t="s">
        <v>2189</v>
      </c>
      <c r="B884" s="608" t="s">
        <v>315</v>
      </c>
      <c r="C884" s="594">
        <v>86915</v>
      </c>
      <c r="D884" s="408" t="s">
        <v>2190</v>
      </c>
      <c r="E884" s="385" t="s">
        <v>721</v>
      </c>
      <c r="F884" s="454">
        <v>75</v>
      </c>
      <c r="G884" s="454">
        <v>60.95</v>
      </c>
      <c r="H884" s="382">
        <f t="shared" si="59"/>
        <v>76.144835</v>
      </c>
      <c r="I884" s="383">
        <f t="shared" si="58"/>
        <v>5710.86</v>
      </c>
    </row>
    <row r="885" spans="1:9" x14ac:dyDescent="0.25">
      <c r="A885" s="579" t="s">
        <v>2191</v>
      </c>
      <c r="B885" s="608" t="s">
        <v>315</v>
      </c>
      <c r="C885" s="594">
        <v>86881</v>
      </c>
      <c r="D885" s="408" t="s">
        <v>2192</v>
      </c>
      <c r="E885" s="385" t="s">
        <v>721</v>
      </c>
      <c r="F885" s="454">
        <v>277</v>
      </c>
      <c r="G885" s="454">
        <v>105.07</v>
      </c>
      <c r="H885" s="382">
        <f t="shared" si="59"/>
        <v>131.26395099999999</v>
      </c>
      <c r="I885" s="383">
        <f t="shared" si="58"/>
        <v>36360.11</v>
      </c>
    </row>
    <row r="886" spans="1:9" x14ac:dyDescent="0.25">
      <c r="A886" s="579" t="s">
        <v>2193</v>
      </c>
      <c r="B886" s="608" t="s">
        <v>2184</v>
      </c>
      <c r="C886" s="594" t="s">
        <v>2194</v>
      </c>
      <c r="D886" s="408" t="s">
        <v>2195</v>
      </c>
      <c r="E886" s="385" t="s">
        <v>721</v>
      </c>
      <c r="F886" s="454">
        <v>247</v>
      </c>
      <c r="G886" s="454">
        <v>35.630000000000003</v>
      </c>
      <c r="H886" s="382">
        <f t="shared" si="59"/>
        <v>44.512559000000003</v>
      </c>
      <c r="I886" s="383">
        <f t="shared" si="58"/>
        <v>10994.6</v>
      </c>
    </row>
    <row r="887" spans="1:9" x14ac:dyDescent="0.25">
      <c r="A887" s="579" t="s">
        <v>2196</v>
      </c>
      <c r="B887" s="608" t="s">
        <v>2184</v>
      </c>
      <c r="C887" s="594" t="s">
        <v>2197</v>
      </c>
      <c r="D887" s="408" t="s">
        <v>2198</v>
      </c>
      <c r="E887" s="385" t="s">
        <v>721</v>
      </c>
      <c r="F887" s="454">
        <v>247</v>
      </c>
      <c r="G887" s="454">
        <v>37.93</v>
      </c>
      <c r="H887" s="382">
        <f t="shared" si="59"/>
        <v>47.385948999999997</v>
      </c>
      <c r="I887" s="383">
        <f t="shared" si="58"/>
        <v>11704.33</v>
      </c>
    </row>
    <row r="888" spans="1:9" x14ac:dyDescent="0.25">
      <c r="A888" s="579" t="s">
        <v>2199</v>
      </c>
      <c r="B888" s="608" t="s">
        <v>315</v>
      </c>
      <c r="C888" s="594">
        <v>86877</v>
      </c>
      <c r="D888" s="408" t="s">
        <v>2200</v>
      </c>
      <c r="E888" s="385" t="s">
        <v>721</v>
      </c>
      <c r="F888" s="454">
        <v>278</v>
      </c>
      <c r="G888" s="454">
        <v>18.739999999999998</v>
      </c>
      <c r="H888" s="382">
        <f t="shared" si="59"/>
        <v>23.411881999999999</v>
      </c>
      <c r="I888" s="383">
        <f t="shared" si="58"/>
        <v>6508.5</v>
      </c>
    </row>
    <row r="889" spans="1:9" x14ac:dyDescent="0.25">
      <c r="A889" s="579" t="s">
        <v>2201</v>
      </c>
      <c r="B889" s="608" t="s">
        <v>2184</v>
      </c>
      <c r="C889" s="594" t="s">
        <v>2202</v>
      </c>
      <c r="D889" s="408" t="s">
        <v>2203</v>
      </c>
      <c r="E889" s="385" t="s">
        <v>721</v>
      </c>
      <c r="F889" s="454">
        <v>111</v>
      </c>
      <c r="G889" s="454">
        <v>87.71</v>
      </c>
      <c r="H889" s="382">
        <f t="shared" si="59"/>
        <v>109.57610299999999</v>
      </c>
      <c r="I889" s="383">
        <f t="shared" si="58"/>
        <v>12162.95</v>
      </c>
    </row>
    <row r="890" spans="1:9" x14ac:dyDescent="0.25">
      <c r="A890" s="579" t="s">
        <v>2204</v>
      </c>
      <c r="B890" s="608" t="s">
        <v>315</v>
      </c>
      <c r="C890" s="594">
        <v>88571</v>
      </c>
      <c r="D890" s="408" t="s">
        <v>2205</v>
      </c>
      <c r="E890" s="385" t="s">
        <v>721</v>
      </c>
      <c r="F890" s="454">
        <v>111</v>
      </c>
      <c r="G890" s="454">
        <v>47.17</v>
      </c>
      <c r="H890" s="382">
        <f t="shared" si="59"/>
        <v>58.929481000000003</v>
      </c>
      <c r="I890" s="383">
        <f t="shared" si="58"/>
        <v>6541.17</v>
      </c>
    </row>
    <row r="891" spans="1:9" x14ac:dyDescent="0.25">
      <c r="A891" s="579" t="s">
        <v>2206</v>
      </c>
      <c r="B891" s="608" t="s">
        <v>2184</v>
      </c>
      <c r="C891" s="594" t="s">
        <v>2207</v>
      </c>
      <c r="D891" s="408" t="s">
        <v>2208</v>
      </c>
      <c r="E891" s="385" t="s">
        <v>721</v>
      </c>
      <c r="F891" s="454">
        <v>111</v>
      </c>
      <c r="G891" s="454">
        <v>35.979999999999997</v>
      </c>
      <c r="H891" s="382">
        <f t="shared" si="59"/>
        <v>44.949813999999996</v>
      </c>
      <c r="I891" s="383">
        <f t="shared" si="58"/>
        <v>4989.43</v>
      </c>
    </row>
    <row r="892" spans="1:9" x14ac:dyDescent="0.25">
      <c r="A892" s="579" t="s">
        <v>2209</v>
      </c>
      <c r="B892" s="608" t="s">
        <v>315</v>
      </c>
      <c r="C892" s="594">
        <v>89709</v>
      </c>
      <c r="D892" s="408" t="s">
        <v>2210</v>
      </c>
      <c r="E892" s="385" t="s">
        <v>721</v>
      </c>
      <c r="F892" s="454">
        <v>167</v>
      </c>
      <c r="G892" s="454">
        <v>7.93</v>
      </c>
      <c r="H892" s="382">
        <f t="shared" si="59"/>
        <v>9.9069489999999991</v>
      </c>
      <c r="I892" s="383">
        <f t="shared" si="58"/>
        <v>1654.46</v>
      </c>
    </row>
    <row r="893" spans="1:9" x14ac:dyDescent="0.25">
      <c r="A893" s="579" t="s">
        <v>2211</v>
      </c>
      <c r="B893" s="608" t="s">
        <v>2184</v>
      </c>
      <c r="C893" s="594" t="s">
        <v>2212</v>
      </c>
      <c r="D893" s="408" t="s">
        <v>2213</v>
      </c>
      <c r="E893" s="385" t="s">
        <v>721</v>
      </c>
      <c r="F893" s="454">
        <v>111</v>
      </c>
      <c r="G893" s="454">
        <v>72.760000000000005</v>
      </c>
      <c r="H893" s="382">
        <f t="shared" si="59"/>
        <v>90.899068</v>
      </c>
      <c r="I893" s="383">
        <f t="shared" si="58"/>
        <v>10089.799999999999</v>
      </c>
    </row>
    <row r="894" spans="1:9" x14ac:dyDescent="0.25">
      <c r="A894" s="579" t="s">
        <v>2214</v>
      </c>
      <c r="B894" s="608" t="s">
        <v>315</v>
      </c>
      <c r="C894" s="594">
        <v>94792</v>
      </c>
      <c r="D894" s="408" t="s">
        <v>2215</v>
      </c>
      <c r="E894" s="385" t="s">
        <v>721</v>
      </c>
      <c r="F894" s="454">
        <v>119</v>
      </c>
      <c r="G894" s="454">
        <v>74.760000000000005</v>
      </c>
      <c r="H894" s="382">
        <f t="shared" si="59"/>
        <v>93.39766800000001</v>
      </c>
      <c r="I894" s="383">
        <f t="shared" si="58"/>
        <v>11114.32</v>
      </c>
    </row>
    <row r="895" spans="1:9" x14ac:dyDescent="0.25">
      <c r="A895" s="579" t="s">
        <v>2216</v>
      </c>
      <c r="B895" s="608" t="s">
        <v>2184</v>
      </c>
      <c r="C895" s="594" t="s">
        <v>2217</v>
      </c>
      <c r="D895" s="408" t="s">
        <v>2218</v>
      </c>
      <c r="E895" s="385" t="s">
        <v>721</v>
      </c>
      <c r="F895" s="454">
        <v>29</v>
      </c>
      <c r="G895" s="454">
        <v>67.52</v>
      </c>
      <c r="H895" s="382">
        <f t="shared" si="59"/>
        <v>84.352735999999993</v>
      </c>
      <c r="I895" s="383">
        <f t="shared" si="58"/>
        <v>2446.23</v>
      </c>
    </row>
    <row r="896" spans="1:9" x14ac:dyDescent="0.25">
      <c r="A896" s="579" t="s">
        <v>2219</v>
      </c>
      <c r="B896" s="624" t="s">
        <v>2184</v>
      </c>
      <c r="C896" s="594" t="s">
        <v>2220</v>
      </c>
      <c r="D896" s="408" t="s">
        <v>2221</v>
      </c>
      <c r="E896" s="385" t="s">
        <v>721</v>
      </c>
      <c r="F896" s="454">
        <v>141</v>
      </c>
      <c r="G896" s="454">
        <v>225.57</v>
      </c>
      <c r="H896" s="382">
        <f t="shared" si="59"/>
        <v>281.80460099999999</v>
      </c>
      <c r="I896" s="383">
        <f t="shared" si="58"/>
        <v>39734.449999999997</v>
      </c>
    </row>
    <row r="897" spans="1:10" ht="28.5" x14ac:dyDescent="0.25">
      <c r="A897" s="579" t="s">
        <v>2222</v>
      </c>
      <c r="B897" s="624" t="s">
        <v>315</v>
      </c>
      <c r="C897" s="594" t="s">
        <v>2223</v>
      </c>
      <c r="D897" s="408" t="s">
        <v>2224</v>
      </c>
      <c r="E897" s="385" t="s">
        <v>721</v>
      </c>
      <c r="F897" s="454">
        <v>4</v>
      </c>
      <c r="G897" s="454">
        <v>365.99</v>
      </c>
      <c r="H897" s="382">
        <f t="shared" si="59"/>
        <v>457.23130700000002</v>
      </c>
      <c r="I897" s="383">
        <f t="shared" si="58"/>
        <v>1828.93</v>
      </c>
    </row>
    <row r="898" spans="1:10" x14ac:dyDescent="0.25">
      <c r="A898" s="579" t="s">
        <v>2225</v>
      </c>
      <c r="B898" s="624" t="s">
        <v>315</v>
      </c>
      <c r="C898" s="594">
        <v>86878</v>
      </c>
      <c r="D898" s="408" t="s">
        <v>2226</v>
      </c>
      <c r="E898" s="385" t="s">
        <v>721</v>
      </c>
      <c r="F898" s="454">
        <v>2</v>
      </c>
      <c r="G898" s="454">
        <v>37.33</v>
      </c>
      <c r="H898" s="382">
        <f t="shared" si="59"/>
        <v>46.636369000000002</v>
      </c>
      <c r="I898" s="383">
        <f t="shared" si="58"/>
        <v>93.27</v>
      </c>
    </row>
    <row r="899" spans="1:10" x14ac:dyDescent="0.25">
      <c r="A899" s="579" t="s">
        <v>2227</v>
      </c>
      <c r="B899" s="624" t="s">
        <v>315</v>
      </c>
      <c r="C899" s="594">
        <v>86901</v>
      </c>
      <c r="D899" s="408" t="s">
        <v>2228</v>
      </c>
      <c r="E899" s="385" t="s">
        <v>721</v>
      </c>
      <c r="F899" s="454">
        <v>45</v>
      </c>
      <c r="G899" s="454">
        <v>90.93</v>
      </c>
      <c r="H899" s="382">
        <f t="shared" si="59"/>
        <v>113.598849</v>
      </c>
      <c r="I899" s="383">
        <f t="shared" si="58"/>
        <v>5111.95</v>
      </c>
    </row>
    <row r="900" spans="1:10" x14ac:dyDescent="0.25">
      <c r="A900" s="579" t="s">
        <v>2229</v>
      </c>
      <c r="B900" s="624" t="s">
        <v>315</v>
      </c>
      <c r="C900" s="594">
        <v>86900</v>
      </c>
      <c r="D900" s="408" t="s">
        <v>2230</v>
      </c>
      <c r="E900" s="385" t="s">
        <v>721</v>
      </c>
      <c r="F900" s="454">
        <v>34</v>
      </c>
      <c r="G900" s="454">
        <v>125.41</v>
      </c>
      <c r="H900" s="382">
        <f t="shared" si="59"/>
        <v>156.674713</v>
      </c>
      <c r="I900" s="383">
        <f t="shared" si="58"/>
        <v>5326.94</v>
      </c>
    </row>
    <row r="901" spans="1:10" x14ac:dyDescent="0.25">
      <c r="A901" s="579" t="s">
        <v>2231</v>
      </c>
      <c r="B901" s="624" t="s">
        <v>315</v>
      </c>
      <c r="C901" s="594">
        <v>40729</v>
      </c>
      <c r="D901" s="408" t="s">
        <v>2232</v>
      </c>
      <c r="E901" s="385" t="s">
        <v>721</v>
      </c>
      <c r="F901" s="454">
        <v>10</v>
      </c>
      <c r="G901" s="454">
        <v>198.39</v>
      </c>
      <c r="H901" s="382">
        <f t="shared" si="59"/>
        <v>247.84862699999996</v>
      </c>
      <c r="I901" s="383">
        <f t="shared" si="58"/>
        <v>2478.4899999999998</v>
      </c>
    </row>
    <row r="902" spans="1:10" x14ac:dyDescent="0.25">
      <c r="A902" s="579" t="s">
        <v>2233</v>
      </c>
      <c r="B902" s="624" t="s">
        <v>2234</v>
      </c>
      <c r="C902" s="594" t="s">
        <v>2235</v>
      </c>
      <c r="D902" s="408" t="s">
        <v>2236</v>
      </c>
      <c r="E902" s="385" t="s">
        <v>374</v>
      </c>
      <c r="F902" s="454">
        <v>225</v>
      </c>
      <c r="G902" s="454">
        <v>196.13</v>
      </c>
      <c r="H902" s="382">
        <f t="shared" si="59"/>
        <v>245.02520899999999</v>
      </c>
      <c r="I902" s="383">
        <f t="shared" si="58"/>
        <v>55130.67</v>
      </c>
      <c r="J902" s="736"/>
    </row>
    <row r="903" spans="1:10" x14ac:dyDescent="0.25">
      <c r="A903" s="579" t="s">
        <v>2237</v>
      </c>
      <c r="B903" s="624" t="s">
        <v>2234</v>
      </c>
      <c r="C903" s="594" t="s">
        <v>2235</v>
      </c>
      <c r="D903" s="408" t="s">
        <v>2238</v>
      </c>
      <c r="E903" s="385" t="s">
        <v>374</v>
      </c>
      <c r="F903" s="454">
        <v>82.2</v>
      </c>
      <c r="G903" s="454">
        <v>196.13</v>
      </c>
      <c r="H903" s="382">
        <f t="shared" si="59"/>
        <v>245.02520899999999</v>
      </c>
      <c r="I903" s="383">
        <f t="shared" si="58"/>
        <v>20141.07</v>
      </c>
      <c r="J903" s="737"/>
    </row>
    <row r="904" spans="1:10" x14ac:dyDescent="0.25">
      <c r="A904" s="579" t="s">
        <v>2239</v>
      </c>
      <c r="B904" s="624" t="s">
        <v>2179</v>
      </c>
      <c r="C904" s="594">
        <v>10167</v>
      </c>
      <c r="D904" s="408" t="s">
        <v>2240</v>
      </c>
      <c r="E904" s="385" t="s">
        <v>676</v>
      </c>
      <c r="F904" s="454">
        <v>108</v>
      </c>
      <c r="G904" s="454">
        <v>207.29</v>
      </c>
      <c r="H904" s="382">
        <f t="shared" si="59"/>
        <v>258.96739700000001</v>
      </c>
      <c r="I904" s="383">
        <f t="shared" si="58"/>
        <v>27968.48</v>
      </c>
      <c r="J904" s="738"/>
    </row>
    <row r="905" spans="1:10" x14ac:dyDescent="0.25">
      <c r="A905" s="579" t="s">
        <v>2241</v>
      </c>
      <c r="B905" s="624" t="s">
        <v>2184</v>
      </c>
      <c r="C905" s="594" t="s">
        <v>2242</v>
      </c>
      <c r="D905" s="408" t="s">
        <v>2243</v>
      </c>
      <c r="E905" s="385" t="s">
        <v>378</v>
      </c>
      <c r="F905" s="454">
        <v>67.849999999999994</v>
      </c>
      <c r="G905" s="454">
        <v>223.76</v>
      </c>
      <c r="H905" s="382">
        <f t="shared" si="59"/>
        <v>279.54336799999999</v>
      </c>
      <c r="I905" s="383">
        <f t="shared" si="58"/>
        <v>18967.02</v>
      </c>
    </row>
    <row r="906" spans="1:10" x14ac:dyDescent="0.25">
      <c r="A906" s="579" t="s">
        <v>2244</v>
      </c>
      <c r="B906" s="624" t="s">
        <v>2184</v>
      </c>
      <c r="C906" s="594" t="s">
        <v>2245</v>
      </c>
      <c r="D906" s="408" t="s">
        <v>2246</v>
      </c>
      <c r="E906" s="385" t="s">
        <v>721</v>
      </c>
      <c r="F906" s="454">
        <v>18</v>
      </c>
      <c r="G906" s="454">
        <v>1070</v>
      </c>
      <c r="H906" s="382">
        <f t="shared" si="59"/>
        <v>1336.751</v>
      </c>
      <c r="I906" s="383">
        <f t="shared" si="58"/>
        <v>24061.52</v>
      </c>
    </row>
    <row r="907" spans="1:10" x14ac:dyDescent="0.25">
      <c r="A907" s="579" t="s">
        <v>2247</v>
      </c>
      <c r="B907" s="624" t="s">
        <v>2179</v>
      </c>
      <c r="C907" s="594">
        <v>96653</v>
      </c>
      <c r="D907" s="408" t="s">
        <v>2248</v>
      </c>
      <c r="E907" s="385" t="s">
        <v>374</v>
      </c>
      <c r="F907" s="454">
        <v>10.8</v>
      </c>
      <c r="G907" s="454">
        <v>233.13</v>
      </c>
      <c r="H907" s="382">
        <f t="shared" si="59"/>
        <v>291.24930899999998</v>
      </c>
      <c r="I907" s="383">
        <f t="shared" si="58"/>
        <v>3145.49</v>
      </c>
    </row>
    <row r="908" spans="1:10" x14ac:dyDescent="0.25">
      <c r="A908" s="579" t="s">
        <v>2249</v>
      </c>
      <c r="B908" s="624" t="s">
        <v>2184</v>
      </c>
      <c r="C908" s="594" t="s">
        <v>2250</v>
      </c>
      <c r="D908" s="408" t="s">
        <v>2251</v>
      </c>
      <c r="E908" s="385" t="s">
        <v>676</v>
      </c>
      <c r="F908" s="454">
        <v>10</v>
      </c>
      <c r="G908" s="454">
        <v>482.33</v>
      </c>
      <c r="H908" s="382">
        <f t="shared" si="59"/>
        <v>602.57486900000004</v>
      </c>
      <c r="I908" s="383">
        <f t="shared" si="58"/>
        <v>6025.75</v>
      </c>
    </row>
    <row r="909" spans="1:10" ht="28.5" x14ac:dyDescent="0.25">
      <c r="A909" s="579" t="s">
        <v>2252</v>
      </c>
      <c r="B909" s="608" t="s">
        <v>2184</v>
      </c>
      <c r="C909" s="594" t="s">
        <v>2253</v>
      </c>
      <c r="D909" s="408" t="s">
        <v>2254</v>
      </c>
      <c r="E909" s="385" t="s">
        <v>676</v>
      </c>
      <c r="F909" s="454">
        <v>10</v>
      </c>
      <c r="G909" s="454">
        <v>762.68</v>
      </c>
      <c r="H909" s="382">
        <f t="shared" si="59"/>
        <v>952.81612399999995</v>
      </c>
      <c r="I909" s="383">
        <f t="shared" si="58"/>
        <v>9528.16</v>
      </c>
    </row>
    <row r="910" spans="1:10" x14ac:dyDescent="0.25">
      <c r="A910" s="579" t="s">
        <v>2255</v>
      </c>
      <c r="B910" s="608" t="s">
        <v>2179</v>
      </c>
      <c r="C910" s="594">
        <v>10810</v>
      </c>
      <c r="D910" s="408" t="s">
        <v>2256</v>
      </c>
      <c r="E910" s="385" t="s">
        <v>378</v>
      </c>
      <c r="F910" s="454">
        <v>84.12</v>
      </c>
      <c r="G910" s="454">
        <v>945.72</v>
      </c>
      <c r="H910" s="382">
        <f t="shared" si="59"/>
        <v>1181.4879960000001</v>
      </c>
      <c r="I910" s="383">
        <f t="shared" si="58"/>
        <v>99386.77</v>
      </c>
    </row>
    <row r="911" spans="1:10" x14ac:dyDescent="0.25">
      <c r="A911" s="579" t="s">
        <v>2257</v>
      </c>
      <c r="B911" s="608" t="s">
        <v>2234</v>
      </c>
      <c r="C911" s="594" t="s">
        <v>2242</v>
      </c>
      <c r="D911" s="408" t="s">
        <v>2258</v>
      </c>
      <c r="E911" s="385" t="s">
        <v>378</v>
      </c>
      <c r="F911" s="454">
        <v>108.84</v>
      </c>
      <c r="G911" s="454">
        <v>223.76</v>
      </c>
      <c r="H911" s="382">
        <f t="shared" si="59"/>
        <v>279.54336799999999</v>
      </c>
      <c r="I911" s="383">
        <f t="shared" si="58"/>
        <v>30425.5</v>
      </c>
    </row>
    <row r="912" spans="1:10" x14ac:dyDescent="0.25">
      <c r="A912" s="579" t="s">
        <v>2259</v>
      </c>
      <c r="B912" s="608" t="s">
        <v>2234</v>
      </c>
      <c r="C912" s="594" t="s">
        <v>2260</v>
      </c>
      <c r="D912" s="408" t="s">
        <v>2261</v>
      </c>
      <c r="E912" s="385" t="s">
        <v>721</v>
      </c>
      <c r="F912" s="454">
        <v>15</v>
      </c>
      <c r="G912" s="454">
        <v>407.42</v>
      </c>
      <c r="H912" s="382">
        <f t="shared" si="59"/>
        <v>508.98980600000004</v>
      </c>
      <c r="I912" s="383">
        <f t="shared" si="58"/>
        <v>7634.85</v>
      </c>
    </row>
    <row r="913" spans="1:10" x14ac:dyDescent="0.25">
      <c r="A913" s="579" t="s">
        <v>2262</v>
      </c>
      <c r="B913" s="608" t="s">
        <v>2234</v>
      </c>
      <c r="C913" s="594" t="s">
        <v>2263</v>
      </c>
      <c r="D913" s="408" t="s">
        <v>2264</v>
      </c>
      <c r="E913" s="385" t="s">
        <v>721</v>
      </c>
      <c r="F913" s="454">
        <v>7</v>
      </c>
      <c r="G913" s="454">
        <v>509.97</v>
      </c>
      <c r="H913" s="382">
        <f t="shared" si="59"/>
        <v>637.10552100000007</v>
      </c>
      <c r="I913" s="383">
        <f t="shared" si="58"/>
        <v>4459.74</v>
      </c>
    </row>
    <row r="914" spans="1:10" x14ac:dyDescent="0.25">
      <c r="A914" s="579" t="s">
        <v>2265</v>
      </c>
      <c r="B914" s="608" t="s">
        <v>2234</v>
      </c>
      <c r="C914" s="594" t="s">
        <v>2266</v>
      </c>
      <c r="D914" s="408" t="s">
        <v>2267</v>
      </c>
      <c r="E914" s="385" t="s">
        <v>721</v>
      </c>
      <c r="F914" s="454">
        <v>3</v>
      </c>
      <c r="G914" s="454">
        <v>697.79</v>
      </c>
      <c r="H914" s="382">
        <f t="shared" si="59"/>
        <v>871.74904700000002</v>
      </c>
      <c r="I914" s="383">
        <f t="shared" si="58"/>
        <v>2615.25</v>
      </c>
    </row>
    <row r="915" spans="1:10" x14ac:dyDescent="0.25">
      <c r="A915" s="579" t="s">
        <v>2268</v>
      </c>
      <c r="B915" s="608" t="s">
        <v>2234</v>
      </c>
      <c r="C915" s="594" t="s">
        <v>2269</v>
      </c>
      <c r="D915" s="408" t="s">
        <v>2270</v>
      </c>
      <c r="E915" s="385" t="s">
        <v>721</v>
      </c>
      <c r="F915" s="454">
        <v>1</v>
      </c>
      <c r="G915" s="454">
        <v>1222.68</v>
      </c>
      <c r="H915" s="382">
        <f t="shared" si="59"/>
        <v>1527.4941240000001</v>
      </c>
      <c r="I915" s="383">
        <f t="shared" si="58"/>
        <v>1527.49</v>
      </c>
    </row>
    <row r="916" spans="1:10" x14ac:dyDescent="0.25">
      <c r="A916" s="579" t="s">
        <v>2271</v>
      </c>
      <c r="B916" s="608" t="s">
        <v>2234</v>
      </c>
      <c r="C916" s="594" t="s">
        <v>2272</v>
      </c>
      <c r="D916" s="408" t="s">
        <v>2273</v>
      </c>
      <c r="E916" s="385" t="s">
        <v>721</v>
      </c>
      <c r="F916" s="454">
        <v>1</v>
      </c>
      <c r="G916" s="454">
        <v>895.93</v>
      </c>
      <c r="H916" s="382">
        <f t="shared" si="59"/>
        <v>1119.285349</v>
      </c>
      <c r="I916" s="383">
        <f t="shared" si="58"/>
        <v>1119.29</v>
      </c>
    </row>
    <row r="917" spans="1:10" x14ac:dyDescent="0.25">
      <c r="A917" s="579" t="s">
        <v>2274</v>
      </c>
      <c r="B917" s="608" t="s">
        <v>2234</v>
      </c>
      <c r="C917" s="594" t="s">
        <v>2275</v>
      </c>
      <c r="D917" s="408" t="s">
        <v>2276</v>
      </c>
      <c r="E917" s="385" t="s">
        <v>721</v>
      </c>
      <c r="F917" s="454">
        <v>1</v>
      </c>
      <c r="G917" s="454">
        <v>2062.9299999999998</v>
      </c>
      <c r="H917" s="382">
        <f t="shared" si="59"/>
        <v>2577.218449</v>
      </c>
      <c r="I917" s="383">
        <f t="shared" si="58"/>
        <v>2577.2199999999998</v>
      </c>
    </row>
    <row r="918" spans="1:10" x14ac:dyDescent="0.25">
      <c r="A918" s="579" t="s">
        <v>2277</v>
      </c>
      <c r="B918" s="608" t="s">
        <v>2234</v>
      </c>
      <c r="C918" s="594" t="s">
        <v>2278</v>
      </c>
      <c r="D918" s="408" t="s">
        <v>2279</v>
      </c>
      <c r="E918" s="385" t="s">
        <v>378</v>
      </c>
      <c r="F918" s="454">
        <v>260.14999999999998</v>
      </c>
      <c r="G918" s="454">
        <v>369.27</v>
      </c>
      <c r="H918" s="382">
        <f t="shared" si="59"/>
        <v>461.32901099999998</v>
      </c>
      <c r="I918" s="383">
        <f t="shared" si="58"/>
        <v>120014.74</v>
      </c>
    </row>
    <row r="919" spans="1:10" ht="28.5" x14ac:dyDescent="0.25">
      <c r="A919" s="579" t="s">
        <v>2280</v>
      </c>
      <c r="B919" s="608" t="s">
        <v>2234</v>
      </c>
      <c r="C919" s="594" t="s">
        <v>2235</v>
      </c>
      <c r="D919" s="408" t="s">
        <v>2281</v>
      </c>
      <c r="E919" s="385" t="s">
        <v>374</v>
      </c>
      <c r="F919" s="454">
        <v>69</v>
      </c>
      <c r="G919" s="454">
        <v>196.13</v>
      </c>
      <c r="H919" s="382">
        <f t="shared" si="59"/>
        <v>245.02520899999999</v>
      </c>
      <c r="I919" s="383">
        <f t="shared" si="58"/>
        <v>16906.740000000002</v>
      </c>
    </row>
    <row r="920" spans="1:10" x14ac:dyDescent="0.25">
      <c r="A920" s="579"/>
      <c r="B920" s="608"/>
      <c r="C920" s="594"/>
      <c r="D920" s="408"/>
      <c r="E920" s="385"/>
      <c r="F920" s="454"/>
      <c r="G920" s="454"/>
      <c r="H920" s="382"/>
      <c r="I920" s="383"/>
    </row>
    <row r="921" spans="1:10" x14ac:dyDescent="0.25">
      <c r="A921" s="577" t="s">
        <v>2282</v>
      </c>
      <c r="B921" s="604"/>
      <c r="C921" s="588"/>
      <c r="D921" s="446" t="s">
        <v>2283</v>
      </c>
      <c r="E921" s="447"/>
      <c r="F921" s="448"/>
      <c r="G921" s="448"/>
      <c r="H921" s="448"/>
      <c r="I921" s="449">
        <f>SUM(I922:I931)</f>
        <v>2306405.69</v>
      </c>
    </row>
    <row r="922" spans="1:10" x14ac:dyDescent="0.25">
      <c r="A922" s="584" t="s">
        <v>2284</v>
      </c>
      <c r="B922" s="608" t="s">
        <v>315</v>
      </c>
      <c r="C922" s="557">
        <v>83534</v>
      </c>
      <c r="D922" s="408" t="s">
        <v>2285</v>
      </c>
      <c r="E922" s="385" t="s">
        <v>397</v>
      </c>
      <c r="F922" s="388">
        <f>'Piso e Forro'!E619</f>
        <v>309.38974999999988</v>
      </c>
      <c r="G922" s="442">
        <v>442.58</v>
      </c>
      <c r="H922" s="382">
        <f t="shared" si="59"/>
        <v>552.91519399999993</v>
      </c>
      <c r="I922" s="383">
        <f t="shared" ref="I922:I930" si="60">ROUND(H922*F922,2)</f>
        <v>171066.29</v>
      </c>
    </row>
    <row r="923" spans="1:10" ht="28.5" x14ac:dyDescent="0.25">
      <c r="A923" s="584" t="s">
        <v>2286</v>
      </c>
      <c r="B923" s="624" t="s">
        <v>315</v>
      </c>
      <c r="C923" s="594">
        <v>87622</v>
      </c>
      <c r="D923" s="408" t="s">
        <v>3475</v>
      </c>
      <c r="E923" s="385" t="s">
        <v>378</v>
      </c>
      <c r="F923" s="388">
        <f>'Piso e Forro'!C613</f>
        <v>8603.3349999999973</v>
      </c>
      <c r="G923" s="442">
        <v>16.62</v>
      </c>
      <c r="H923" s="382">
        <f t="shared" si="59"/>
        <v>20.763366000000001</v>
      </c>
      <c r="I923" s="383">
        <f t="shared" si="60"/>
        <v>178634.19</v>
      </c>
    </row>
    <row r="924" spans="1:10" ht="28.5" x14ac:dyDescent="0.25">
      <c r="A924" s="579" t="s">
        <v>2287</v>
      </c>
      <c r="B924" s="619" t="s">
        <v>325</v>
      </c>
      <c r="C924" s="620" t="s">
        <v>2288</v>
      </c>
      <c r="D924" s="408" t="s">
        <v>2289</v>
      </c>
      <c r="E924" s="571" t="s">
        <v>378</v>
      </c>
      <c r="F924" s="622">
        <f>'Piso e Forro'!G613</f>
        <v>6989.74</v>
      </c>
      <c r="G924" s="442">
        <v>127.83</v>
      </c>
      <c r="H924" s="382">
        <f t="shared" si="59"/>
        <v>159.69801899999999</v>
      </c>
      <c r="I924" s="383">
        <f t="shared" si="60"/>
        <v>1116247.6299999999</v>
      </c>
    </row>
    <row r="925" spans="1:10" ht="21" customHeight="1" x14ac:dyDescent="0.25">
      <c r="A925" s="584" t="s">
        <v>2290</v>
      </c>
      <c r="B925" s="624" t="s">
        <v>320</v>
      </c>
      <c r="C925" s="594" t="s">
        <v>2291</v>
      </c>
      <c r="D925" s="408" t="s">
        <v>3476</v>
      </c>
      <c r="E925" s="385" t="s">
        <v>378</v>
      </c>
      <c r="F925" s="388">
        <f>Revestimento!AG5</f>
        <v>5881.670000000001</v>
      </c>
      <c r="G925" s="442">
        <v>62.68</v>
      </c>
      <c r="H925" s="382">
        <f t="shared" si="59"/>
        <v>78.306123999999997</v>
      </c>
      <c r="I925" s="383">
        <f t="shared" si="60"/>
        <v>460570.78</v>
      </c>
      <c r="J925" s="692"/>
    </row>
    <row r="926" spans="1:10" ht="28.5" x14ac:dyDescent="0.25">
      <c r="A926" s="584" t="s">
        <v>2292</v>
      </c>
      <c r="B926" s="624" t="s">
        <v>320</v>
      </c>
      <c r="C926" s="594">
        <v>10068</v>
      </c>
      <c r="D926" s="408" t="s">
        <v>3477</v>
      </c>
      <c r="E926" s="385" t="s">
        <v>378</v>
      </c>
      <c r="F926" s="388">
        <f>'Piso e Forro'!I613</f>
        <v>998.8900000000001</v>
      </c>
      <c r="G926" s="442">
        <v>210.47</v>
      </c>
      <c r="H926" s="382">
        <f t="shared" si="59"/>
        <v>262.94017100000002</v>
      </c>
      <c r="I926" s="383">
        <f t="shared" si="60"/>
        <v>262648.31</v>
      </c>
    </row>
    <row r="927" spans="1:10" ht="28.5" x14ac:dyDescent="0.25">
      <c r="A927" s="584" t="s">
        <v>2293</v>
      </c>
      <c r="B927" s="624" t="s">
        <v>320</v>
      </c>
      <c r="C927" s="594">
        <v>10380</v>
      </c>
      <c r="D927" s="408" t="s">
        <v>2294</v>
      </c>
      <c r="E927" s="385" t="s">
        <v>378</v>
      </c>
      <c r="F927" s="388">
        <f>'Piso e Forro'!K613</f>
        <v>216.74</v>
      </c>
      <c r="G927" s="442">
        <v>280.08999999999997</v>
      </c>
      <c r="H927" s="382">
        <f t="shared" si="59"/>
        <v>349.91643699999997</v>
      </c>
      <c r="I927" s="383">
        <f t="shared" si="60"/>
        <v>75840.89</v>
      </c>
    </row>
    <row r="928" spans="1:10" x14ac:dyDescent="0.25">
      <c r="A928" s="584" t="s">
        <v>2295</v>
      </c>
      <c r="B928" s="624" t="s">
        <v>320</v>
      </c>
      <c r="C928" s="594">
        <v>10826</v>
      </c>
      <c r="D928" s="408" t="s">
        <v>2296</v>
      </c>
      <c r="E928" s="385" t="s">
        <v>378</v>
      </c>
      <c r="F928" s="388">
        <f>'Piso e Forro'!O613</f>
        <v>132.25</v>
      </c>
      <c r="G928" s="442">
        <v>142.46</v>
      </c>
      <c r="H928" s="382">
        <f t="shared" si="59"/>
        <v>177.975278</v>
      </c>
      <c r="I928" s="383">
        <f t="shared" si="60"/>
        <v>23537.23</v>
      </c>
    </row>
    <row r="929" spans="1:10" ht="28.5" x14ac:dyDescent="0.25">
      <c r="A929" s="584" t="s">
        <v>2297</v>
      </c>
      <c r="B929" s="624" t="s">
        <v>315</v>
      </c>
      <c r="C929" s="594">
        <v>72136</v>
      </c>
      <c r="D929" s="408" t="s">
        <v>2298</v>
      </c>
      <c r="E929" s="385" t="s">
        <v>378</v>
      </c>
      <c r="F929" s="388">
        <f>'Piso e Forro'!Q613</f>
        <v>216.41500000000002</v>
      </c>
      <c r="G929" s="442">
        <v>62.83</v>
      </c>
      <c r="H929" s="382">
        <f t="shared" si="59"/>
        <v>78.493518999999992</v>
      </c>
      <c r="I929" s="383">
        <f t="shared" si="60"/>
        <v>16987.169999999998</v>
      </c>
    </row>
    <row r="930" spans="1:10" ht="28.5" x14ac:dyDescent="0.25">
      <c r="A930" s="584" t="s">
        <v>2299</v>
      </c>
      <c r="B930" s="608" t="s">
        <v>315</v>
      </c>
      <c r="C930" s="594" t="s">
        <v>2300</v>
      </c>
      <c r="D930" s="408" t="s">
        <v>2301</v>
      </c>
      <c r="E930" s="385" t="s">
        <v>378</v>
      </c>
      <c r="F930" s="388">
        <f>'Piso e Forro'!M613</f>
        <v>21.04</v>
      </c>
      <c r="G930" s="442">
        <v>33.22</v>
      </c>
      <c r="H930" s="382">
        <f t="shared" si="59"/>
        <v>41.501745999999997</v>
      </c>
      <c r="I930" s="383">
        <f t="shared" si="60"/>
        <v>873.2</v>
      </c>
    </row>
    <row r="931" spans="1:10" x14ac:dyDescent="0.25">
      <c r="A931" s="584"/>
      <c r="B931" s="608"/>
      <c r="C931" s="594"/>
      <c r="D931" s="385"/>
      <c r="E931" s="385"/>
      <c r="F931" s="408"/>
      <c r="G931" s="385"/>
      <c r="H931" s="382"/>
      <c r="I931" s="442"/>
    </row>
    <row r="932" spans="1:10" x14ac:dyDescent="0.25">
      <c r="A932" s="577" t="s">
        <v>2302</v>
      </c>
      <c r="B932" s="604"/>
      <c r="C932" s="588"/>
      <c r="D932" s="446" t="s">
        <v>2303</v>
      </c>
      <c r="E932" s="447"/>
      <c r="F932" s="448"/>
      <c r="G932" s="448"/>
      <c r="H932" s="448"/>
      <c r="I932" s="449">
        <f>SUM(I933:I947)</f>
        <v>3044898.6299999994</v>
      </c>
    </row>
    <row r="933" spans="1:10" x14ac:dyDescent="0.25">
      <c r="A933" s="585" t="s">
        <v>2304</v>
      </c>
      <c r="B933" s="607"/>
      <c r="C933" s="602"/>
      <c r="D933" s="443" t="s">
        <v>2305</v>
      </c>
      <c r="E933" s="444"/>
      <c r="F933" s="443"/>
      <c r="G933" s="443"/>
      <c r="H933" s="382"/>
      <c r="I933" s="443"/>
    </row>
    <row r="934" spans="1:10" ht="28.5" x14ac:dyDescent="0.25">
      <c r="A934" s="584" t="s">
        <v>2306</v>
      </c>
      <c r="B934" s="608" t="s">
        <v>315</v>
      </c>
      <c r="C934" s="571">
        <v>87893</v>
      </c>
      <c r="D934" s="452" t="s">
        <v>2307</v>
      </c>
      <c r="E934" s="386" t="s">
        <v>378</v>
      </c>
      <c r="F934" s="394">
        <f>Revestimento!I5</f>
        <v>36288.19000000001</v>
      </c>
      <c r="G934" s="388">
        <v>4.3499999999999996</v>
      </c>
      <c r="H934" s="382">
        <f t="shared" si="59"/>
        <v>5.4344549999999998</v>
      </c>
      <c r="I934" s="383">
        <f t="shared" ref="I934:I939" si="61">ROUND(H934*F934,2)</f>
        <v>197206.54</v>
      </c>
    </row>
    <row r="935" spans="1:10" ht="42.75" x14ac:dyDescent="0.25">
      <c r="A935" s="584" t="s">
        <v>2308</v>
      </c>
      <c r="B935" s="624" t="s">
        <v>315</v>
      </c>
      <c r="C935" s="571">
        <v>87535</v>
      </c>
      <c r="D935" s="452" t="s">
        <v>3544</v>
      </c>
      <c r="E935" s="386" t="s">
        <v>378</v>
      </c>
      <c r="F935" s="394">
        <f>Revestimento!K5</f>
        <v>4782.3510000000024</v>
      </c>
      <c r="G935" s="388">
        <v>16.12</v>
      </c>
      <c r="H935" s="382">
        <f t="shared" si="59"/>
        <v>20.138716000000002</v>
      </c>
      <c r="I935" s="383">
        <f t="shared" si="61"/>
        <v>96310.41</v>
      </c>
      <c r="J935" s="699"/>
    </row>
    <row r="936" spans="1:10" ht="28.5" x14ac:dyDescent="0.25">
      <c r="A936" s="584" t="s">
        <v>2309</v>
      </c>
      <c r="B936" s="624" t="s">
        <v>315</v>
      </c>
      <c r="C936" s="571">
        <v>87792</v>
      </c>
      <c r="D936" s="452" t="s">
        <v>3545</v>
      </c>
      <c r="E936" s="386" t="s">
        <v>378</v>
      </c>
      <c r="F936" s="394">
        <f>Revestimento!K6</f>
        <v>6952.7149999999992</v>
      </c>
      <c r="G936" s="388">
        <v>20.18</v>
      </c>
      <c r="H936" s="382">
        <f t="shared" ref="H936" si="62">G936+(G936*$H$14)</f>
        <v>25.210874</v>
      </c>
      <c r="I936" s="383">
        <f t="shared" si="61"/>
        <v>175284.02</v>
      </c>
      <c r="J936" s="699"/>
    </row>
    <row r="937" spans="1:10" ht="28.5" x14ac:dyDescent="0.25">
      <c r="A937" s="584" t="s">
        <v>2309</v>
      </c>
      <c r="B937" s="624" t="s">
        <v>315</v>
      </c>
      <c r="C937" s="571">
        <v>87792</v>
      </c>
      <c r="D937" s="452" t="s">
        <v>2096</v>
      </c>
      <c r="E937" s="386" t="s">
        <v>378</v>
      </c>
      <c r="F937" s="394">
        <f>Revestimento!M5</f>
        <v>24553.124000000011</v>
      </c>
      <c r="G937" s="388">
        <v>20.18</v>
      </c>
      <c r="H937" s="382">
        <f t="shared" si="59"/>
        <v>25.210874</v>
      </c>
      <c r="I937" s="383">
        <f t="shared" si="61"/>
        <v>619005.72</v>
      </c>
    </row>
    <row r="938" spans="1:10" x14ac:dyDescent="0.25">
      <c r="A938" s="579" t="s">
        <v>2310</v>
      </c>
      <c r="B938" s="619" t="s">
        <v>601</v>
      </c>
      <c r="C938" s="620" t="s">
        <v>2311</v>
      </c>
      <c r="D938" s="714" t="s">
        <v>2312</v>
      </c>
      <c r="E938" s="571" t="s">
        <v>378</v>
      </c>
      <c r="F938" s="622">
        <f>Revestimento!O5</f>
        <v>11749.414000000001</v>
      </c>
      <c r="G938" s="623">
        <v>68.14</v>
      </c>
      <c r="H938" s="382">
        <f t="shared" si="59"/>
        <v>85.127302</v>
      </c>
      <c r="I938" s="383">
        <f t="shared" si="61"/>
        <v>1000195.91</v>
      </c>
    </row>
    <row r="939" spans="1:10" ht="28.5" x14ac:dyDescent="0.25">
      <c r="A939" s="584" t="s">
        <v>2313</v>
      </c>
      <c r="B939" s="624" t="s">
        <v>601</v>
      </c>
      <c r="C939" s="571" t="s">
        <v>2314</v>
      </c>
      <c r="D939" s="452" t="s">
        <v>2315</v>
      </c>
      <c r="E939" s="386" t="s">
        <v>378</v>
      </c>
      <c r="F939" s="394">
        <f>Revestimento!Q5</f>
        <v>22</v>
      </c>
      <c r="G939" s="388">
        <v>127.49</v>
      </c>
      <c r="H939" s="382">
        <f t="shared" si="59"/>
        <v>159.273257</v>
      </c>
      <c r="I939" s="383">
        <f t="shared" si="61"/>
        <v>3504.01</v>
      </c>
    </row>
    <row r="940" spans="1:10" x14ac:dyDescent="0.25">
      <c r="A940" s="585" t="s">
        <v>2316</v>
      </c>
      <c r="B940" s="716"/>
      <c r="C940" s="602"/>
      <c r="D940" s="572" t="s">
        <v>2317</v>
      </c>
      <c r="E940" s="444"/>
      <c r="F940" s="443"/>
      <c r="G940" s="443"/>
      <c r="H940" s="382"/>
      <c r="I940" s="443"/>
    </row>
    <row r="941" spans="1:10" x14ac:dyDescent="0.2">
      <c r="A941" s="579" t="s">
        <v>2318</v>
      </c>
      <c r="B941" s="619" t="s">
        <v>601</v>
      </c>
      <c r="C941" s="620" t="s">
        <v>2319</v>
      </c>
      <c r="D941" s="701" t="s">
        <v>2320</v>
      </c>
      <c r="E941" s="571" t="s">
        <v>378</v>
      </c>
      <c r="F941" s="622">
        <f>Revestimento!AA4</f>
        <v>7541.204999999999</v>
      </c>
      <c r="G941" s="623">
        <v>46.3</v>
      </c>
      <c r="H941" s="382">
        <f t="shared" si="59"/>
        <v>57.842589999999994</v>
      </c>
      <c r="I941" s="383">
        <f>ROUND(H941*F941,2)</f>
        <v>436202.83</v>
      </c>
    </row>
    <row r="942" spans="1:10" ht="28.5" x14ac:dyDescent="0.2">
      <c r="A942" s="579" t="s">
        <v>2321</v>
      </c>
      <c r="B942" s="619" t="s">
        <v>601</v>
      </c>
      <c r="C942" s="620" t="s">
        <v>2322</v>
      </c>
      <c r="D942" s="701" t="s">
        <v>2323</v>
      </c>
      <c r="E942" s="571" t="s">
        <v>378</v>
      </c>
      <c r="F942" s="622">
        <f>Revestimento!AC4</f>
        <v>2528.3200000000006</v>
      </c>
      <c r="G942" s="623">
        <v>145.80000000000001</v>
      </c>
      <c r="H942" s="382">
        <f t="shared" si="59"/>
        <v>182.14794000000001</v>
      </c>
      <c r="I942" s="383">
        <f>ROUND(H942*F942,2)</f>
        <v>460528.28</v>
      </c>
    </row>
    <row r="943" spans="1:10" x14ac:dyDescent="0.25">
      <c r="A943" s="585" t="s">
        <v>2324</v>
      </c>
      <c r="B943" s="607"/>
      <c r="C943" s="602"/>
      <c r="D943" s="443" t="s">
        <v>2325</v>
      </c>
      <c r="E943" s="444"/>
      <c r="F943" s="443"/>
      <c r="G943" s="443"/>
      <c r="H943" s="382"/>
      <c r="I943" s="443"/>
    </row>
    <row r="944" spans="1:10" x14ac:dyDescent="0.25">
      <c r="A944" s="584" t="s">
        <v>2326</v>
      </c>
      <c r="B944" s="608" t="s">
        <v>2327</v>
      </c>
      <c r="C944" s="571" t="s">
        <v>2328</v>
      </c>
      <c r="D944" s="452" t="s">
        <v>2329</v>
      </c>
      <c r="E944" s="386" t="s">
        <v>374</v>
      </c>
      <c r="F944" s="394">
        <v>13.25</v>
      </c>
      <c r="G944" s="388">
        <v>250.24</v>
      </c>
      <c r="H944" s="382">
        <f t="shared" ref="H944:H960" si="63">G944+(G944*$H$14)</f>
        <v>312.62483200000003</v>
      </c>
      <c r="I944" s="383">
        <f>ROUND(H944*F944,2)</f>
        <v>4142.28</v>
      </c>
      <c r="J944" s="372"/>
    </row>
    <row r="945" spans="1:10" x14ac:dyDescent="0.25">
      <c r="A945" s="584" t="s">
        <v>2330</v>
      </c>
      <c r="B945" s="608" t="s">
        <v>2234</v>
      </c>
      <c r="C945" s="594" t="s">
        <v>2331</v>
      </c>
      <c r="D945" s="402" t="s">
        <v>2332</v>
      </c>
      <c r="E945" s="414" t="s">
        <v>374</v>
      </c>
      <c r="F945" s="454">
        <v>197.2</v>
      </c>
      <c r="G945" s="416">
        <v>206.54</v>
      </c>
      <c r="H945" s="382">
        <f t="shared" si="63"/>
        <v>258.03042199999999</v>
      </c>
      <c r="I945" s="383">
        <f>ROUND(H945*F945,2)</f>
        <v>50883.6</v>
      </c>
      <c r="J945" s="372"/>
    </row>
    <row r="946" spans="1:10" x14ac:dyDescent="0.25">
      <c r="A946" s="584" t="s">
        <v>2333</v>
      </c>
      <c r="B946" s="608" t="s">
        <v>315</v>
      </c>
      <c r="C946" s="571" t="s">
        <v>2334</v>
      </c>
      <c r="D946" s="452" t="s">
        <v>2335</v>
      </c>
      <c r="E946" s="374" t="s">
        <v>374</v>
      </c>
      <c r="F946" s="394">
        <v>6.2</v>
      </c>
      <c r="G946" s="388">
        <v>211.09</v>
      </c>
      <c r="H946" s="382">
        <f t="shared" si="63"/>
        <v>263.71473700000001</v>
      </c>
      <c r="I946" s="383">
        <f>ROUND(H946*F946,2)</f>
        <v>1635.03</v>
      </c>
      <c r="J946" s="372"/>
    </row>
    <row r="947" spans="1:10" x14ac:dyDescent="0.25">
      <c r="A947" s="586"/>
      <c r="B947" s="607"/>
      <c r="C947" s="602"/>
      <c r="D947" s="443"/>
      <c r="E947" s="444"/>
      <c r="F947" s="443"/>
      <c r="G947" s="443"/>
      <c r="H947" s="382"/>
      <c r="I947" s="443"/>
    </row>
    <row r="948" spans="1:10" x14ac:dyDescent="0.25">
      <c r="A948" s="577" t="s">
        <v>2336</v>
      </c>
      <c r="B948" s="604"/>
      <c r="C948" s="588"/>
      <c r="D948" s="446" t="s">
        <v>2337</v>
      </c>
      <c r="E948" s="447"/>
      <c r="F948" s="448"/>
      <c r="G948" s="448"/>
      <c r="H948" s="448"/>
      <c r="I948" s="449">
        <f>SUM(I949:I957)</f>
        <v>728747.28</v>
      </c>
    </row>
    <row r="949" spans="1:10" x14ac:dyDescent="0.25">
      <c r="A949" s="584"/>
      <c r="B949" s="607"/>
      <c r="C949" s="602"/>
      <c r="D949" s="445" t="s">
        <v>2338</v>
      </c>
      <c r="E949" s="386"/>
      <c r="F949" s="394"/>
      <c r="G949" s="388"/>
      <c r="H949" s="382"/>
      <c r="I949" s="416"/>
    </row>
    <row r="950" spans="1:10" x14ac:dyDescent="0.25">
      <c r="A950" s="584" t="s">
        <v>2339</v>
      </c>
      <c r="B950" s="608" t="s">
        <v>315</v>
      </c>
      <c r="C950" s="571">
        <v>88485</v>
      </c>
      <c r="D950" s="452" t="s">
        <v>3541</v>
      </c>
      <c r="E950" s="386" t="s">
        <v>378</v>
      </c>
      <c r="F950" s="432">
        <f>Revestimento!M4</f>
        <v>28762.529000000039</v>
      </c>
      <c r="G950" s="432">
        <v>1.49</v>
      </c>
      <c r="H950" s="432">
        <f t="shared" si="63"/>
        <v>1.8614569999999999</v>
      </c>
      <c r="I950" s="433">
        <f t="shared" ref="I950:I957" si="64">ROUND(H950*F950,2)</f>
        <v>53540.21</v>
      </c>
    </row>
    <row r="951" spans="1:10" x14ac:dyDescent="0.25">
      <c r="A951" s="584" t="s">
        <v>2340</v>
      </c>
      <c r="B951" s="608" t="s">
        <v>315</v>
      </c>
      <c r="C951" s="571">
        <v>88496</v>
      </c>
      <c r="D951" s="452" t="s">
        <v>2341</v>
      </c>
      <c r="E951" s="386" t="s">
        <v>378</v>
      </c>
      <c r="F951" s="432">
        <f>Revestimento!AA4+Revestimento!AE4</f>
        <v>7666.2249999999995</v>
      </c>
      <c r="G951" s="432">
        <v>14.92</v>
      </c>
      <c r="H951" s="432">
        <f t="shared" si="63"/>
        <v>18.639555999999999</v>
      </c>
      <c r="I951" s="433">
        <f t="shared" si="64"/>
        <v>142895.03</v>
      </c>
    </row>
    <row r="952" spans="1:10" x14ac:dyDescent="0.25">
      <c r="A952" s="584" t="s">
        <v>2342</v>
      </c>
      <c r="B952" s="608" t="s">
        <v>315</v>
      </c>
      <c r="C952" s="571">
        <v>88497</v>
      </c>
      <c r="D952" s="452" t="s">
        <v>2343</v>
      </c>
      <c r="E952" s="386" t="s">
        <v>378</v>
      </c>
      <c r="F952" s="432">
        <f>Revestimento!AA4</f>
        <v>7541.204999999999</v>
      </c>
      <c r="G952" s="432">
        <v>7.98</v>
      </c>
      <c r="H952" s="432">
        <f t="shared" si="63"/>
        <v>9.9694140000000004</v>
      </c>
      <c r="I952" s="433">
        <f t="shared" si="64"/>
        <v>75181.39</v>
      </c>
    </row>
    <row r="953" spans="1:10" x14ac:dyDescent="0.25">
      <c r="A953" s="584" t="s">
        <v>2344</v>
      </c>
      <c r="B953" s="608" t="s">
        <v>315</v>
      </c>
      <c r="C953" s="571">
        <v>88489</v>
      </c>
      <c r="D953" s="452" t="s">
        <v>2345</v>
      </c>
      <c r="E953" s="386" t="s">
        <v>378</v>
      </c>
      <c r="F953" s="432">
        <f>Revestimento!AA4</f>
        <v>7541.204999999999</v>
      </c>
      <c r="G953" s="432">
        <v>8.84</v>
      </c>
      <c r="H953" s="432">
        <f t="shared" si="63"/>
        <v>11.043811999999999</v>
      </c>
      <c r="I953" s="433">
        <f t="shared" si="64"/>
        <v>83283.649999999994</v>
      </c>
    </row>
    <row r="954" spans="1:10" x14ac:dyDescent="0.25">
      <c r="A954" s="584" t="s">
        <v>2346</v>
      </c>
      <c r="B954" s="608" t="s">
        <v>315</v>
      </c>
      <c r="C954" s="571">
        <v>88416</v>
      </c>
      <c r="D954" s="452" t="s">
        <v>2102</v>
      </c>
      <c r="E954" s="386" t="s">
        <v>378</v>
      </c>
      <c r="F954" s="432">
        <f>Revestimento!AE4</f>
        <v>125.02</v>
      </c>
      <c r="G954" s="432">
        <v>12.18</v>
      </c>
      <c r="H954" s="432">
        <f t="shared" si="63"/>
        <v>15.216474</v>
      </c>
      <c r="I954" s="433">
        <f t="shared" si="64"/>
        <v>1902.36</v>
      </c>
    </row>
    <row r="955" spans="1:10" x14ac:dyDescent="0.25">
      <c r="A955" s="584" t="s">
        <v>2347</v>
      </c>
      <c r="B955" s="608" t="s">
        <v>315</v>
      </c>
      <c r="C955" s="571">
        <v>88482</v>
      </c>
      <c r="D955" s="452" t="s">
        <v>2348</v>
      </c>
      <c r="E955" s="386" t="s">
        <v>378</v>
      </c>
      <c r="F955" s="432">
        <f>Revestimento!AE4</f>
        <v>125.02</v>
      </c>
      <c r="G955" s="432">
        <v>2.11</v>
      </c>
      <c r="H955" s="432">
        <f t="shared" si="63"/>
        <v>2.6360229999999998</v>
      </c>
      <c r="I955" s="433">
        <f t="shared" si="64"/>
        <v>329.56</v>
      </c>
    </row>
    <row r="956" spans="1:10" x14ac:dyDescent="0.25">
      <c r="A956" s="584" t="s">
        <v>2349</v>
      </c>
      <c r="B956" s="608" t="s">
        <v>315</v>
      </c>
      <c r="C956" s="571">
        <v>88486</v>
      </c>
      <c r="D956" s="575" t="s">
        <v>2350</v>
      </c>
      <c r="E956" s="386" t="s">
        <v>378</v>
      </c>
      <c r="F956" s="432">
        <f>Revestimento!AA4+Revestimento!AE4</f>
        <v>7666.2249999999995</v>
      </c>
      <c r="G956" s="432">
        <v>7.8</v>
      </c>
      <c r="H956" s="432">
        <f t="shared" si="63"/>
        <v>9.7445400000000006</v>
      </c>
      <c r="I956" s="433">
        <f t="shared" si="64"/>
        <v>74703.839999999997</v>
      </c>
    </row>
    <row r="957" spans="1:10" x14ac:dyDescent="0.2">
      <c r="A957" s="584" t="s">
        <v>2351</v>
      </c>
      <c r="B957" s="608" t="s">
        <v>315</v>
      </c>
      <c r="C957" s="603">
        <v>84647</v>
      </c>
      <c r="D957" s="576" t="s">
        <v>2352</v>
      </c>
      <c r="E957" s="571" t="s">
        <v>378</v>
      </c>
      <c r="F957" s="432">
        <f>Revestimento!AC4</f>
        <v>2528.3200000000006</v>
      </c>
      <c r="G957" s="432">
        <v>94</v>
      </c>
      <c r="H957" s="432">
        <f t="shared" si="63"/>
        <v>117.4342</v>
      </c>
      <c r="I957" s="433">
        <f t="shared" si="64"/>
        <v>296911.24</v>
      </c>
    </row>
    <row r="958" spans="1:10" x14ac:dyDescent="0.25">
      <c r="A958" s="587"/>
      <c r="B958" s="609"/>
      <c r="C958" s="558"/>
      <c r="D958" s="566"/>
      <c r="E958" s="414"/>
      <c r="F958" s="416"/>
      <c r="G958" s="416"/>
      <c r="H958" s="382"/>
      <c r="I958" s="416"/>
    </row>
    <row r="959" spans="1:10" x14ac:dyDescent="0.25">
      <c r="A959" s="577" t="s">
        <v>2353</v>
      </c>
      <c r="B959" s="604"/>
      <c r="C959" s="588"/>
      <c r="D959" s="446" t="s">
        <v>2354</v>
      </c>
      <c r="E959" s="447"/>
      <c r="F959" s="448"/>
      <c r="G959" s="448"/>
      <c r="H959" s="448"/>
      <c r="I959" s="449">
        <f>SUM(I960:I963)</f>
        <v>299939.14</v>
      </c>
    </row>
    <row r="960" spans="1:10" x14ac:dyDescent="0.25">
      <c r="A960" s="584" t="s">
        <v>2355</v>
      </c>
      <c r="B960" s="608" t="s">
        <v>315</v>
      </c>
      <c r="C960" s="571">
        <v>79467</v>
      </c>
      <c r="D960" s="466" t="s">
        <v>2356</v>
      </c>
      <c r="E960" s="386" t="s">
        <v>374</v>
      </c>
      <c r="F960" s="387">
        <f>SUM('Pintura Estac.'!E5:E8)</f>
        <v>89.08</v>
      </c>
      <c r="G960" s="388">
        <v>10.039999999999999</v>
      </c>
      <c r="H960" s="382">
        <f t="shared" si="63"/>
        <v>12.542971999999999</v>
      </c>
      <c r="I960" s="383">
        <f>ROUND(H960*F960,2)</f>
        <v>1117.33</v>
      </c>
    </row>
    <row r="961" spans="1:13" x14ac:dyDescent="0.25">
      <c r="A961" s="584" t="s">
        <v>2357</v>
      </c>
      <c r="B961" s="608" t="s">
        <v>315</v>
      </c>
      <c r="C961" s="571" t="s">
        <v>2358</v>
      </c>
      <c r="D961" s="466" t="s">
        <v>2359</v>
      </c>
      <c r="E961" s="386" t="s">
        <v>378</v>
      </c>
      <c r="F961" s="387">
        <f>'Pintura Estac.'!E15</f>
        <v>127.8</v>
      </c>
      <c r="G961" s="388">
        <v>13.15</v>
      </c>
      <c r="H961" s="382">
        <f>G961+(G961*$H$14)</f>
        <v>16.428294999999999</v>
      </c>
      <c r="I961" s="383">
        <f>ROUND(H961*F961,2)</f>
        <v>2099.54</v>
      </c>
    </row>
    <row r="962" spans="1:13" ht="28.5" x14ac:dyDescent="0.25">
      <c r="A962" s="584" t="s">
        <v>2360</v>
      </c>
      <c r="B962" s="608" t="s">
        <v>315</v>
      </c>
      <c r="C962" s="571">
        <v>94992</v>
      </c>
      <c r="D962" s="466" t="s">
        <v>2361</v>
      </c>
      <c r="E962" s="386" t="s">
        <v>378</v>
      </c>
      <c r="F962" s="387">
        <f>'Pintura Estac.'!E24</f>
        <v>2917.51</v>
      </c>
      <c r="G962" s="388">
        <v>53.19</v>
      </c>
      <c r="H962" s="382">
        <f>G962+(G962*$H$14)</f>
        <v>66.450266999999997</v>
      </c>
      <c r="I962" s="383">
        <f>ROUND(H962*F962,2)</f>
        <v>193869.32</v>
      </c>
    </row>
    <row r="963" spans="1:13" ht="28.5" x14ac:dyDescent="0.25">
      <c r="A963" s="584" t="s">
        <v>2362</v>
      </c>
      <c r="B963" s="608" t="s">
        <v>315</v>
      </c>
      <c r="C963" s="571">
        <v>92398</v>
      </c>
      <c r="D963" s="466" t="s">
        <v>2363</v>
      </c>
      <c r="E963" s="386" t="s">
        <v>378</v>
      </c>
      <c r="F963" s="387">
        <f>'Pintura Estac.'!E31</f>
        <v>1587.8199999999997</v>
      </c>
      <c r="G963" s="388">
        <v>51.85</v>
      </c>
      <c r="H963" s="382">
        <f>G963+(G963*$H$14)</f>
        <v>64.776205000000004</v>
      </c>
      <c r="I963" s="383">
        <f>ROUND(H963*F963,2)</f>
        <v>102852.95</v>
      </c>
    </row>
    <row r="964" spans="1:13" x14ac:dyDescent="0.25">
      <c r="A964" s="584"/>
      <c r="B964" s="608"/>
      <c r="C964" s="571"/>
      <c r="D964" s="466"/>
      <c r="E964" s="386"/>
      <c r="F964" s="387"/>
      <c r="G964" s="388"/>
      <c r="H964" s="382"/>
      <c r="I964" s="383"/>
    </row>
    <row r="965" spans="1:13" x14ac:dyDescent="0.25">
      <c r="A965" s="577" t="s">
        <v>2364</v>
      </c>
      <c r="B965" s="604"/>
      <c r="C965" s="588"/>
      <c r="D965" s="446" t="s">
        <v>2365</v>
      </c>
      <c r="E965" s="447"/>
      <c r="F965" s="448"/>
      <c r="G965" s="448"/>
      <c r="H965" s="448"/>
      <c r="I965" s="449">
        <f>SUM(I966:I968)</f>
        <v>164384.79999999999</v>
      </c>
      <c r="M965" s="640"/>
    </row>
    <row r="966" spans="1:13" ht="28.5" x14ac:dyDescent="0.25">
      <c r="A966" s="584" t="s">
        <v>2366</v>
      </c>
      <c r="B966" s="608" t="s">
        <v>2234</v>
      </c>
      <c r="C966" s="571" t="s">
        <v>2367</v>
      </c>
      <c r="D966" s="466" t="s">
        <v>2368</v>
      </c>
      <c r="E966" s="386" t="s">
        <v>378</v>
      </c>
      <c r="F966" s="394">
        <v>146.45999999999998</v>
      </c>
      <c r="G966" s="388">
        <v>442.33</v>
      </c>
      <c r="H966" s="382">
        <f>G966+(G966*$H$14)</f>
        <v>552.60286899999994</v>
      </c>
      <c r="I966" s="383">
        <f>ROUND(H966*F966,2)</f>
        <v>80934.22</v>
      </c>
    </row>
    <row r="967" spans="1:13" x14ac:dyDescent="0.25">
      <c r="A967" s="584" t="s">
        <v>2369</v>
      </c>
      <c r="B967" s="608" t="s">
        <v>2234</v>
      </c>
      <c r="C967" s="571" t="s">
        <v>2370</v>
      </c>
      <c r="D967" s="466" t="s">
        <v>2371</v>
      </c>
      <c r="E967" s="386" t="s">
        <v>378</v>
      </c>
      <c r="F967" s="394">
        <f>26.64+119.82+10.8</f>
        <v>157.26</v>
      </c>
      <c r="G967" s="388">
        <v>277.52999999999997</v>
      </c>
      <c r="H967" s="382">
        <f>G967+(G967*$H$14)</f>
        <v>346.71822899999995</v>
      </c>
      <c r="I967" s="383">
        <f>ROUND(H967*F967,2)</f>
        <v>54524.91</v>
      </c>
    </row>
    <row r="968" spans="1:13" x14ac:dyDescent="0.25">
      <c r="A968" s="584" t="s">
        <v>2372</v>
      </c>
      <c r="B968" s="608" t="s">
        <v>315</v>
      </c>
      <c r="C968" s="571">
        <v>9537</v>
      </c>
      <c r="D968" s="459" t="s">
        <v>2373</v>
      </c>
      <c r="E968" s="386" t="s">
        <v>378</v>
      </c>
      <c r="F968" s="394">
        <v>12791.99</v>
      </c>
      <c r="G968" s="432">
        <v>1.81</v>
      </c>
      <c r="H968" s="382">
        <f>G968+(G968*$H$14)</f>
        <v>2.2612329999999998</v>
      </c>
      <c r="I968" s="383">
        <f>ROUND(H968*F968,2)</f>
        <v>28925.67</v>
      </c>
    </row>
    <row r="969" spans="1:13" x14ac:dyDescent="0.25">
      <c r="A969" s="584"/>
      <c r="B969" s="608"/>
      <c r="C969" s="571"/>
      <c r="D969" s="466"/>
      <c r="E969" s="386"/>
      <c r="F969" s="387"/>
      <c r="G969" s="388"/>
      <c r="H969" s="382"/>
      <c r="I969" s="383"/>
    </row>
    <row r="970" spans="1:13" ht="6" customHeight="1" thickBot="1" x14ac:dyDescent="0.3">
      <c r="A970" s="467"/>
      <c r="B970" s="467"/>
      <c r="C970" s="468"/>
      <c r="D970" s="467"/>
      <c r="E970" s="468"/>
      <c r="F970" s="467"/>
      <c r="G970" s="388"/>
      <c r="H970" s="467"/>
      <c r="I970" s="467"/>
    </row>
    <row r="971" spans="1:13" ht="16.5" thickBot="1" x14ac:dyDescent="0.3">
      <c r="A971" s="727" t="s">
        <v>2374</v>
      </c>
      <c r="B971" s="728"/>
      <c r="C971" s="469"/>
      <c r="D971" s="469"/>
      <c r="E971" s="470"/>
      <c r="F971" s="471"/>
      <c r="G971" s="470"/>
      <c r="H971" s="472"/>
      <c r="I971" s="473">
        <f>SUM(I15:I969)/2</f>
        <v>34724587.019999981</v>
      </c>
    </row>
    <row r="972" spans="1:13" x14ac:dyDescent="0.25">
      <c r="A972" s="474"/>
      <c r="B972" s="474"/>
      <c r="C972" s="475"/>
      <c r="D972" s="474"/>
      <c r="E972" s="475"/>
      <c r="F972" s="474"/>
      <c r="G972" s="474"/>
      <c r="H972" s="474"/>
      <c r="I972" s="474"/>
    </row>
    <row r="973" spans="1:13" ht="15.6" customHeight="1" x14ac:dyDescent="0.25">
      <c r="A973" s="726" t="str">
        <f>"Importa o presente orçamento a quantia de R$ "&amp;FIXED(I971)&amp;" ("&amp;[2]!VExtenso(I971)&amp;"), referente a "&amp;$A$10&amp;", "&amp;$F$10</f>
        <v>Importa o presente orçamento a quantia de R$ 34.724.587,02 (trinta e quatro milhões, setecentos e vinte e quatro mil, quinhentos e oitenta e sete reais e dois centavos), referente a Obra: Conclusão do Centro Integrado de Referência Médica de Picos, Município: Picos - PI</v>
      </c>
      <c r="B973" s="726"/>
      <c r="C973" s="726"/>
      <c r="D973" s="726"/>
      <c r="E973" s="726"/>
      <c r="F973" s="726"/>
      <c r="G973" s="726"/>
      <c r="H973" s="726"/>
      <c r="I973" s="726"/>
    </row>
    <row r="974" spans="1:13" x14ac:dyDescent="0.25">
      <c r="A974" s="726"/>
      <c r="B974" s="726"/>
      <c r="C974" s="726"/>
      <c r="D974" s="726"/>
      <c r="E974" s="726"/>
      <c r="F974" s="726"/>
      <c r="G974" s="726"/>
      <c r="H974" s="726"/>
      <c r="I974" s="726"/>
    </row>
    <row r="975" spans="1:13" x14ac:dyDescent="0.25">
      <c r="A975" s="474"/>
      <c r="B975" s="474"/>
      <c r="C975" s="475"/>
      <c r="D975" s="474"/>
      <c r="E975" s="475"/>
      <c r="F975" s="474"/>
      <c r="G975" s="474"/>
      <c r="H975" s="474"/>
      <c r="I975" s="474"/>
    </row>
    <row r="976" spans="1:13" x14ac:dyDescent="0.25">
      <c r="A976" s="474"/>
      <c r="B976" s="474"/>
      <c r="C976" s="475"/>
      <c r="D976" s="474"/>
      <c r="E976" s="475"/>
      <c r="F976" s="474"/>
      <c r="G976" s="474"/>
      <c r="H976" s="474"/>
      <c r="I976" s="474"/>
    </row>
    <row r="977" spans="1:9" x14ac:dyDescent="0.25">
      <c r="A977" s="474" t="str">
        <f>Cronograma!A53</f>
        <v>Teresina(PI), 07 de abril de 2017</v>
      </c>
      <c r="B977" s="474"/>
      <c r="C977" s="475"/>
      <c r="D977" s="474"/>
      <c r="E977" s="475"/>
      <c r="F977" s="474"/>
      <c r="G977" s="474"/>
      <c r="H977" s="474"/>
      <c r="I977" s="474"/>
    </row>
    <row r="978" spans="1:9" x14ac:dyDescent="0.25">
      <c r="A978" s="474"/>
      <c r="B978" s="474"/>
      <c r="C978" s="475"/>
      <c r="D978" s="474"/>
      <c r="E978" s="475"/>
      <c r="F978" s="474"/>
      <c r="G978" s="474"/>
      <c r="H978" s="474"/>
      <c r="I978" s="474"/>
    </row>
    <row r="979" spans="1:9" x14ac:dyDescent="0.25">
      <c r="A979" s="474"/>
      <c r="B979" s="474"/>
      <c r="C979" s="475"/>
      <c r="D979" s="474"/>
      <c r="E979" s="475"/>
      <c r="F979" s="474"/>
      <c r="G979" s="474"/>
      <c r="H979" s="474"/>
      <c r="I979" s="474"/>
    </row>
    <row r="980" spans="1:9" x14ac:dyDescent="0.25">
      <c r="A980" s="474"/>
      <c r="B980" s="474"/>
      <c r="C980" s="475"/>
      <c r="D980" s="474"/>
      <c r="E980" s="475"/>
      <c r="F980" s="474"/>
      <c r="G980" s="474"/>
      <c r="H980" s="474"/>
      <c r="I980" s="474"/>
    </row>
    <row r="981" spans="1:9" x14ac:dyDescent="0.25">
      <c r="A981" s="476"/>
      <c r="B981" s="476"/>
      <c r="C981" s="477"/>
      <c r="D981" s="476"/>
      <c r="E981" s="477"/>
      <c r="F981" s="476"/>
      <c r="G981" s="476"/>
      <c r="H981" s="476"/>
      <c r="I981" s="476"/>
    </row>
    <row r="982" spans="1:9" x14ac:dyDescent="0.25">
      <c r="A982" s="476"/>
      <c r="B982" s="476"/>
      <c r="C982" s="477"/>
      <c r="D982" s="476"/>
      <c r="E982" s="477"/>
      <c r="F982" s="476"/>
      <c r="G982" s="476"/>
      <c r="H982" s="476"/>
      <c r="I982" s="476"/>
    </row>
    <row r="983" spans="1:9" x14ac:dyDescent="0.25">
      <c r="A983" s="476"/>
      <c r="B983" s="476"/>
      <c r="C983" s="477"/>
      <c r="D983" s="476"/>
      <c r="E983" s="477"/>
      <c r="F983" s="476"/>
      <c r="G983" s="476"/>
      <c r="H983" s="476"/>
      <c r="I983" s="476"/>
    </row>
    <row r="984" spans="1:9" x14ac:dyDescent="0.25">
      <c r="A984" s="476"/>
      <c r="B984" s="476"/>
      <c r="C984" s="477"/>
      <c r="D984" s="476"/>
      <c r="E984" s="477"/>
      <c r="F984" s="476"/>
      <c r="G984" s="476"/>
      <c r="H984" s="476"/>
      <c r="I984" s="476"/>
    </row>
    <row r="985" spans="1:9" x14ac:dyDescent="0.25">
      <c r="A985" s="476"/>
      <c r="B985" s="476"/>
      <c r="C985" s="477"/>
      <c r="D985" s="476"/>
      <c r="E985" s="477"/>
      <c r="F985" s="476"/>
      <c r="G985" s="476"/>
      <c r="H985" s="476"/>
      <c r="I985" s="476"/>
    </row>
    <row r="986" spans="1:9" x14ac:dyDescent="0.25">
      <c r="A986" s="476"/>
      <c r="B986" s="476"/>
      <c r="C986" s="477"/>
      <c r="D986" s="476"/>
      <c r="E986" s="477"/>
      <c r="F986" s="476"/>
      <c r="G986" s="476"/>
      <c r="H986" s="476"/>
      <c r="I986" s="476"/>
    </row>
    <row r="987" spans="1:9" x14ac:dyDescent="0.25">
      <c r="A987" s="476"/>
      <c r="B987" s="476"/>
      <c r="C987" s="477"/>
      <c r="D987" s="476"/>
      <c r="E987" s="477"/>
      <c r="F987" s="476"/>
      <c r="G987" s="476"/>
      <c r="H987" s="476"/>
      <c r="I987" s="476"/>
    </row>
  </sheetData>
  <mergeCells count="20">
    <mergeCell ref="J640:J647"/>
    <mergeCell ref="J902:J904"/>
    <mergeCell ref="D1:I2"/>
    <mergeCell ref="D3:I4"/>
    <mergeCell ref="D5:I6"/>
    <mergeCell ref="F10:I10"/>
    <mergeCell ref="F11:I11"/>
    <mergeCell ref="A10:E10"/>
    <mergeCell ref="A11:E11"/>
    <mergeCell ref="A8:I8"/>
    <mergeCell ref="B13:B14"/>
    <mergeCell ref="C13:C14"/>
    <mergeCell ref="D13:D14"/>
    <mergeCell ref="E13:E14"/>
    <mergeCell ref="A973:I974"/>
    <mergeCell ref="A971:B971"/>
    <mergeCell ref="F13:F14"/>
    <mergeCell ref="I13:I14"/>
    <mergeCell ref="G13:G14"/>
    <mergeCell ref="A13:A14"/>
  </mergeCells>
  <printOptions horizontalCentered="1"/>
  <pageMargins left="0.59055118110236227" right="0.51181102362204722" top="0.48" bottom="0.55118110236220474" header="0.31496062992125984" footer="0.31496062992125984"/>
  <pageSetup paperSize="9" scale="60" orientation="landscape" r:id="rId1"/>
  <headerFooter>
    <oddFooter>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6"/>
  <sheetViews>
    <sheetView workbookViewId="0">
      <selection activeCell="D28" sqref="D28"/>
    </sheetView>
  </sheetViews>
  <sheetFormatPr defaultRowHeight="15.75" x14ac:dyDescent="0.25"/>
  <cols>
    <col min="2" max="2" width="11.125" customWidth="1"/>
    <col min="3" max="3" width="8.875" customWidth="1"/>
    <col min="4" max="4" width="57.5" bestFit="1" customWidth="1"/>
    <col min="5" max="5" width="5" customWidth="1"/>
    <col min="6" max="6" width="9.875" bestFit="1" customWidth="1"/>
    <col min="7" max="7" width="12.5" bestFit="1" customWidth="1"/>
    <col min="8" max="8" width="11.25" bestFit="1" customWidth="1"/>
    <col min="9" max="9" width="10.125" bestFit="1" customWidth="1"/>
  </cols>
  <sheetData>
    <row r="1" spans="2:8" x14ac:dyDescent="0.25">
      <c r="B1" s="764" t="s">
        <v>3454</v>
      </c>
      <c r="C1" s="764"/>
      <c r="D1" s="764"/>
      <c r="E1" s="764"/>
      <c r="F1" s="764"/>
      <c r="G1" s="764"/>
      <c r="H1" s="764"/>
    </row>
    <row r="3" spans="2:8" s="691" customFormat="1" x14ac:dyDescent="0.25">
      <c r="B3" s="221" t="s">
        <v>2940</v>
      </c>
      <c r="C3" s="689" t="s">
        <v>3451</v>
      </c>
      <c r="D3" s="690"/>
      <c r="E3" s="762" t="s">
        <v>3452</v>
      </c>
      <c r="F3" s="763"/>
      <c r="G3" s="762" t="s">
        <v>3453</v>
      </c>
      <c r="H3" s="763"/>
    </row>
    <row r="4" spans="2:8" ht="3" customHeight="1" x14ac:dyDescent="0.25">
      <c r="B4" s="686"/>
      <c r="C4" s="687"/>
      <c r="D4" s="688"/>
      <c r="E4" s="686"/>
      <c r="F4" s="686"/>
      <c r="G4" s="686"/>
      <c r="H4" s="686"/>
    </row>
    <row r="5" spans="2:8" ht="15.75" customHeight="1" x14ac:dyDescent="0.25">
      <c r="B5" s="661" t="s">
        <v>303</v>
      </c>
      <c r="C5" s="661" t="s">
        <v>304</v>
      </c>
      <c r="D5" s="662" t="s">
        <v>305</v>
      </c>
      <c r="E5" s="662" t="s">
        <v>306</v>
      </c>
      <c r="F5" s="663" t="s">
        <v>307</v>
      </c>
      <c r="G5" s="663" t="s">
        <v>3443</v>
      </c>
      <c r="H5" s="663" t="s">
        <v>3444</v>
      </c>
    </row>
    <row r="6" spans="2:8" ht="15.75" customHeight="1" x14ac:dyDescent="0.25">
      <c r="B6" s="664"/>
      <c r="C6" s="665"/>
      <c r="D6" s="678" t="s">
        <v>3445</v>
      </c>
      <c r="E6" s="666"/>
      <c r="F6" s="667"/>
      <c r="G6" s="668"/>
      <c r="H6" s="679"/>
    </row>
    <row r="7" spans="2:8" x14ac:dyDescent="0.25">
      <c r="B7" s="664" t="s">
        <v>315</v>
      </c>
      <c r="C7" s="665">
        <v>93568</v>
      </c>
      <c r="D7" s="680" t="s">
        <v>343</v>
      </c>
      <c r="E7" s="666" t="s">
        <v>344</v>
      </c>
      <c r="F7" s="669">
        <v>24</v>
      </c>
      <c r="G7" s="670">
        <v>19030.41</v>
      </c>
      <c r="H7" s="681">
        <f>F7*G7</f>
        <v>456729.83999999997</v>
      </c>
    </row>
    <row r="8" spans="2:8" x14ac:dyDescent="0.25">
      <c r="B8" s="664" t="s">
        <v>315</v>
      </c>
      <c r="C8" s="665">
        <v>93565</v>
      </c>
      <c r="D8" s="680" t="s">
        <v>346</v>
      </c>
      <c r="E8" s="666" t="s">
        <v>344</v>
      </c>
      <c r="F8" s="669">
        <v>24</v>
      </c>
      <c r="G8" s="670">
        <v>11530.68</v>
      </c>
      <c r="H8" s="681">
        <f t="shared" ref="H8:H22" si="0">F8*G8</f>
        <v>276736.32</v>
      </c>
    </row>
    <row r="9" spans="2:8" x14ac:dyDescent="0.25">
      <c r="B9" s="664" t="s">
        <v>325</v>
      </c>
      <c r="C9" s="665" t="s">
        <v>348</v>
      </c>
      <c r="D9" s="680" t="s">
        <v>349</v>
      </c>
      <c r="E9" s="666" t="s">
        <v>344</v>
      </c>
      <c r="F9" s="669">
        <v>12</v>
      </c>
      <c r="G9" s="670">
        <v>13393.81</v>
      </c>
      <c r="H9" s="681">
        <f t="shared" si="0"/>
        <v>160725.72</v>
      </c>
    </row>
    <row r="10" spans="2:8" x14ac:dyDescent="0.25">
      <c r="B10" s="664" t="s">
        <v>325</v>
      </c>
      <c r="C10" s="665" t="s">
        <v>351</v>
      </c>
      <c r="D10" s="680" t="s">
        <v>352</v>
      </c>
      <c r="E10" s="666" t="s">
        <v>344</v>
      </c>
      <c r="F10" s="669">
        <v>12</v>
      </c>
      <c r="G10" s="670">
        <v>13393.81</v>
      </c>
      <c r="H10" s="681">
        <f t="shared" si="0"/>
        <v>160725.72</v>
      </c>
    </row>
    <row r="11" spans="2:8" x14ac:dyDescent="0.25">
      <c r="B11" s="664" t="s">
        <v>354</v>
      </c>
      <c r="C11" s="665">
        <v>93565</v>
      </c>
      <c r="D11" s="680" t="s">
        <v>355</v>
      </c>
      <c r="E11" s="666" t="s">
        <v>344</v>
      </c>
      <c r="F11" s="669">
        <v>5</v>
      </c>
      <c r="G11" s="670">
        <v>11530.68</v>
      </c>
      <c r="H11" s="681">
        <f t="shared" si="0"/>
        <v>57653.4</v>
      </c>
    </row>
    <row r="12" spans="2:8" x14ac:dyDescent="0.25">
      <c r="B12" s="664" t="s">
        <v>325</v>
      </c>
      <c r="C12" s="665" t="s">
        <v>356</v>
      </c>
      <c r="D12" s="680" t="s">
        <v>357</v>
      </c>
      <c r="E12" s="666" t="s">
        <v>344</v>
      </c>
      <c r="F12" s="669">
        <v>5</v>
      </c>
      <c r="G12" s="670">
        <v>13023</v>
      </c>
      <c r="H12" s="681">
        <f t="shared" si="0"/>
        <v>65115</v>
      </c>
    </row>
    <row r="13" spans="2:8" x14ac:dyDescent="0.25">
      <c r="B13" s="664" t="s">
        <v>315</v>
      </c>
      <c r="C13" s="665">
        <v>94295</v>
      </c>
      <c r="D13" s="682" t="s">
        <v>359</v>
      </c>
      <c r="E13" s="666" t="s">
        <v>344</v>
      </c>
      <c r="F13" s="669">
        <v>24</v>
      </c>
      <c r="G13" s="671">
        <v>5056.17</v>
      </c>
      <c r="H13" s="681">
        <f t="shared" si="0"/>
        <v>121348.08</v>
      </c>
    </row>
    <row r="14" spans="2:8" x14ac:dyDescent="0.25">
      <c r="B14" s="664" t="s">
        <v>354</v>
      </c>
      <c r="C14" s="665">
        <v>93572</v>
      </c>
      <c r="D14" s="682" t="s">
        <v>361</v>
      </c>
      <c r="E14" s="666" t="s">
        <v>344</v>
      </c>
      <c r="F14" s="669">
        <f>24*3</f>
        <v>72</v>
      </c>
      <c r="G14" s="671">
        <v>3541.23</v>
      </c>
      <c r="H14" s="681">
        <f t="shared" si="0"/>
        <v>254968.56</v>
      </c>
    </row>
    <row r="15" spans="2:8" x14ac:dyDescent="0.25">
      <c r="B15" s="664" t="s">
        <v>325</v>
      </c>
      <c r="C15" s="665" t="s">
        <v>363</v>
      </c>
      <c r="D15" s="680" t="s">
        <v>364</v>
      </c>
      <c r="E15" s="666" t="s">
        <v>344</v>
      </c>
      <c r="F15" s="669">
        <f>24*2</f>
        <v>48</v>
      </c>
      <c r="G15" s="670">
        <v>3667.16</v>
      </c>
      <c r="H15" s="681">
        <f t="shared" si="0"/>
        <v>176023.67999999999</v>
      </c>
    </row>
    <row r="16" spans="2:8" x14ac:dyDescent="0.25">
      <c r="B16" s="664" t="s">
        <v>315</v>
      </c>
      <c r="C16" s="665">
        <v>93566</v>
      </c>
      <c r="D16" s="682" t="s">
        <v>366</v>
      </c>
      <c r="E16" s="666" t="s">
        <v>344</v>
      </c>
      <c r="F16" s="669">
        <f>24*2</f>
        <v>48</v>
      </c>
      <c r="G16" s="671">
        <v>2565.77</v>
      </c>
      <c r="H16" s="681">
        <f t="shared" si="0"/>
        <v>123156.95999999999</v>
      </c>
    </row>
    <row r="17" spans="2:10" x14ac:dyDescent="0.25">
      <c r="B17" s="664" t="s">
        <v>315</v>
      </c>
      <c r="C17" s="665">
        <v>93564</v>
      </c>
      <c r="D17" s="682" t="s">
        <v>367</v>
      </c>
      <c r="E17" s="666" t="s">
        <v>344</v>
      </c>
      <c r="F17" s="669">
        <v>24</v>
      </c>
      <c r="G17" s="671">
        <v>2353.1</v>
      </c>
      <c r="H17" s="681">
        <f>F17*G17</f>
        <v>56474.399999999994</v>
      </c>
    </row>
    <row r="18" spans="2:10" x14ac:dyDescent="0.25">
      <c r="B18" s="664" t="s">
        <v>315</v>
      </c>
      <c r="C18" s="665">
        <v>93563</v>
      </c>
      <c r="D18" s="682" t="s">
        <v>368</v>
      </c>
      <c r="E18" s="666" t="s">
        <v>344</v>
      </c>
      <c r="F18" s="669">
        <v>24</v>
      </c>
      <c r="G18" s="671">
        <v>2439.88</v>
      </c>
      <c r="H18" s="681">
        <f>F18*G18</f>
        <v>58557.120000000003</v>
      </c>
    </row>
    <row r="19" spans="2:10" x14ac:dyDescent="0.25">
      <c r="B19" s="664" t="s">
        <v>325</v>
      </c>
      <c r="C19" s="665" t="s">
        <v>370</v>
      </c>
      <c r="D19" s="680" t="s">
        <v>371</v>
      </c>
      <c r="E19" s="666" t="s">
        <v>344</v>
      </c>
      <c r="F19" s="669">
        <f>24*3</f>
        <v>72</v>
      </c>
      <c r="G19" s="670">
        <v>2407.11</v>
      </c>
      <c r="H19" s="681">
        <f t="shared" si="0"/>
        <v>173311.92</v>
      </c>
    </row>
    <row r="20" spans="2:10" x14ac:dyDescent="0.25">
      <c r="B20" s="664"/>
      <c r="C20" s="665"/>
      <c r="D20" s="678" t="s">
        <v>3446</v>
      </c>
      <c r="E20" s="666"/>
      <c r="F20" s="669"/>
      <c r="G20" s="670"/>
      <c r="H20" s="681"/>
    </row>
    <row r="21" spans="2:10" x14ac:dyDescent="0.25">
      <c r="B21" s="672" t="s">
        <v>3515</v>
      </c>
      <c r="C21" s="673"/>
      <c r="D21" s="674" t="s">
        <v>396</v>
      </c>
      <c r="E21" s="675" t="s">
        <v>397</v>
      </c>
      <c r="F21" s="676">
        <f>'Consumo Água e Energia'!G41</f>
        <v>10460</v>
      </c>
      <c r="G21" s="676">
        <v>9.35</v>
      </c>
      <c r="H21" s="681">
        <f t="shared" si="0"/>
        <v>97801</v>
      </c>
      <c r="I21" s="49">
        <f>H21/24</f>
        <v>4075.0416666666665</v>
      </c>
      <c r="J21">
        <v>3000</v>
      </c>
    </row>
    <row r="22" spans="2:10" x14ac:dyDescent="0.25">
      <c r="B22" s="672" t="s">
        <v>315</v>
      </c>
      <c r="C22" s="673">
        <v>2705</v>
      </c>
      <c r="D22" s="674" t="s">
        <v>398</v>
      </c>
      <c r="E22" s="675" t="s">
        <v>399</v>
      </c>
      <c r="F22" s="676">
        <f>'Consumo Água e Energia'!G21</f>
        <v>421340.8</v>
      </c>
      <c r="G22" s="676">
        <v>0.47</v>
      </c>
      <c r="H22" s="681">
        <f t="shared" si="0"/>
        <v>198030.17599999998</v>
      </c>
      <c r="I22" s="49">
        <f>H22/24</f>
        <v>8251.257333333333</v>
      </c>
      <c r="J22">
        <v>8000</v>
      </c>
    </row>
    <row r="23" spans="2:10" x14ac:dyDescent="0.25">
      <c r="B23" s="758" t="s">
        <v>3447</v>
      </c>
      <c r="C23" s="759"/>
      <c r="D23" s="759"/>
      <c r="E23" s="759"/>
      <c r="F23" s="759"/>
      <c r="G23" s="760"/>
      <c r="H23" s="683">
        <f>SUM(H7:H22)</f>
        <v>2437357.8959999997</v>
      </c>
    </row>
    <row r="24" spans="2:10" ht="6" customHeight="1" x14ac:dyDescent="0.25">
      <c r="B24" s="684"/>
      <c r="C24" s="684"/>
      <c r="D24" s="684"/>
      <c r="E24" s="684"/>
      <c r="F24" s="684"/>
      <c r="G24" s="684"/>
      <c r="H24" s="684"/>
    </row>
    <row r="25" spans="2:10" x14ac:dyDescent="0.25">
      <c r="B25" s="684"/>
      <c r="C25" s="684"/>
      <c r="D25" s="684"/>
      <c r="E25" s="684"/>
      <c r="F25" s="761" t="s">
        <v>3448</v>
      </c>
      <c r="G25" s="761"/>
      <c r="H25" s="685">
        <f>H23/24</f>
        <v>101556.57899999998</v>
      </c>
    </row>
    <row r="26" spans="2:10" x14ac:dyDescent="0.25">
      <c r="B26" s="677"/>
      <c r="C26" s="677"/>
      <c r="D26" s="677"/>
      <c r="E26" s="677"/>
      <c r="F26" s="677"/>
      <c r="G26" s="677"/>
      <c r="H26" s="677"/>
    </row>
  </sheetData>
  <mergeCells count="5">
    <mergeCell ref="B23:G23"/>
    <mergeCell ref="F25:G25"/>
    <mergeCell ref="E3:F3"/>
    <mergeCell ref="G3:H3"/>
    <mergeCell ref="B1:H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topLeftCell="A22" zoomScale="90" zoomScaleNormal="90" workbookViewId="0">
      <selection activeCell="H22" sqref="H22"/>
    </sheetView>
  </sheetViews>
  <sheetFormatPr defaultRowHeight="15.75" x14ac:dyDescent="0.25"/>
  <cols>
    <col min="1" max="1" width="40.75" customWidth="1"/>
    <col min="2" max="2" width="9.125" bestFit="1" customWidth="1"/>
    <col min="3" max="3" width="11.625" customWidth="1"/>
    <col min="4" max="4" width="10.25" customWidth="1"/>
    <col min="5" max="5" width="10.5" customWidth="1"/>
    <col min="6" max="6" width="9.625" customWidth="1"/>
    <col min="7" max="7" width="14" bestFit="1" customWidth="1"/>
  </cols>
  <sheetData>
    <row r="1" spans="1:7" ht="18.75" x14ac:dyDescent="0.3">
      <c r="A1" s="765" t="s">
        <v>3512</v>
      </c>
      <c r="B1" s="765"/>
      <c r="C1" s="765"/>
      <c r="D1" s="765"/>
      <c r="E1" s="765"/>
      <c r="F1" s="765"/>
      <c r="G1" s="765"/>
    </row>
    <row r="3" spans="1:7" x14ac:dyDescent="0.25">
      <c r="A3" s="766" t="s">
        <v>2378</v>
      </c>
      <c r="B3" s="766" t="s">
        <v>3479</v>
      </c>
      <c r="C3" s="771" t="s">
        <v>3480</v>
      </c>
      <c r="D3" s="768" t="s">
        <v>3481</v>
      </c>
      <c r="E3" s="769"/>
      <c r="F3" s="770"/>
      <c r="G3" s="771" t="s">
        <v>3482</v>
      </c>
    </row>
    <row r="4" spans="1:7" ht="31.5" x14ac:dyDescent="0.25">
      <c r="A4" s="767"/>
      <c r="B4" s="767"/>
      <c r="C4" s="772"/>
      <c r="D4" s="706" t="s">
        <v>3483</v>
      </c>
      <c r="E4" s="706" t="s">
        <v>3484</v>
      </c>
      <c r="F4" s="706" t="s">
        <v>3485</v>
      </c>
      <c r="G4" s="772"/>
    </row>
    <row r="5" spans="1:7" x14ac:dyDescent="0.25">
      <c r="A5" s="41" t="s">
        <v>3486</v>
      </c>
      <c r="B5" s="41"/>
      <c r="C5" s="41"/>
      <c r="D5" s="702"/>
      <c r="E5" s="702"/>
      <c r="F5" s="702"/>
      <c r="G5" s="41"/>
    </row>
    <row r="6" spans="1:7" x14ac:dyDescent="0.25">
      <c r="A6" s="41" t="s">
        <v>3487</v>
      </c>
      <c r="B6" s="703">
        <v>1</v>
      </c>
      <c r="C6" s="703">
        <v>30</v>
      </c>
      <c r="D6" s="703">
        <v>6</v>
      </c>
      <c r="E6" s="703">
        <v>25</v>
      </c>
      <c r="F6" s="703">
        <v>18</v>
      </c>
      <c r="G6" s="703">
        <f>+F6*E6*D6*C6*B6</f>
        <v>81000</v>
      </c>
    </row>
    <row r="7" spans="1:7" x14ac:dyDescent="0.25">
      <c r="A7" s="41" t="s">
        <v>3488</v>
      </c>
      <c r="B7" s="703">
        <v>1</v>
      </c>
      <c r="C7" s="703">
        <v>10</v>
      </c>
      <c r="D7" s="703">
        <v>1</v>
      </c>
      <c r="E7" s="703">
        <v>25</v>
      </c>
      <c r="F7" s="703">
        <v>10</v>
      </c>
      <c r="G7" s="703">
        <f t="shared" ref="G7:G20" si="0">+F7*E7*D7*C7*B7</f>
        <v>2500</v>
      </c>
    </row>
    <row r="8" spans="1:7" x14ac:dyDescent="0.25">
      <c r="A8" s="41" t="s">
        <v>3489</v>
      </c>
      <c r="B8" s="703">
        <v>1</v>
      </c>
      <c r="C8" s="703">
        <v>15</v>
      </c>
      <c r="D8" s="703">
        <v>5</v>
      </c>
      <c r="E8" s="703">
        <v>25</v>
      </c>
      <c r="F8" s="703">
        <v>12</v>
      </c>
      <c r="G8" s="703">
        <f>+F8*E8*D8*C8*B8</f>
        <v>22500</v>
      </c>
    </row>
    <row r="9" spans="1:7" x14ac:dyDescent="0.25">
      <c r="A9" s="41" t="s">
        <v>3490</v>
      </c>
      <c r="B9" s="703">
        <v>3</v>
      </c>
      <c r="C9" s="703">
        <v>10</v>
      </c>
      <c r="D9" s="703">
        <v>8</v>
      </c>
      <c r="E9" s="703">
        <v>25</v>
      </c>
      <c r="F9" s="703">
        <v>24</v>
      </c>
      <c r="G9" s="703">
        <f>+F9*E9*D9*C9*B9</f>
        <v>144000</v>
      </c>
    </row>
    <row r="10" spans="1:7" x14ac:dyDescent="0.25">
      <c r="A10" s="707" t="s">
        <v>3491</v>
      </c>
      <c r="B10" s="708"/>
      <c r="C10" s="708"/>
      <c r="D10" s="708"/>
      <c r="E10" s="708"/>
      <c r="F10" s="708"/>
      <c r="G10" s="708"/>
    </row>
    <row r="11" spans="1:7" x14ac:dyDescent="0.25">
      <c r="A11" s="41" t="s">
        <v>3492</v>
      </c>
      <c r="B11" s="703">
        <v>5</v>
      </c>
      <c r="C11" s="703">
        <v>0.3</v>
      </c>
      <c r="D11" s="703">
        <v>10</v>
      </c>
      <c r="E11" s="703">
        <v>24</v>
      </c>
      <c r="F11" s="703">
        <v>24</v>
      </c>
      <c r="G11" s="703">
        <f t="shared" si="0"/>
        <v>8640</v>
      </c>
    </row>
    <row r="12" spans="1:7" x14ac:dyDescent="0.25">
      <c r="A12" s="41" t="s">
        <v>3493</v>
      </c>
      <c r="B12" s="703">
        <v>4</v>
      </c>
      <c r="C12" s="703">
        <v>1</v>
      </c>
      <c r="D12" s="703">
        <v>10</v>
      </c>
      <c r="E12" s="703">
        <v>24</v>
      </c>
      <c r="F12" s="703">
        <v>24</v>
      </c>
      <c r="G12" s="703">
        <f t="shared" si="0"/>
        <v>23040</v>
      </c>
    </row>
    <row r="13" spans="1:7" x14ac:dyDescent="0.25">
      <c r="A13" s="41" t="s">
        <v>3494</v>
      </c>
      <c r="B13" s="703">
        <v>2</v>
      </c>
      <c r="C13" s="703">
        <v>0.6</v>
      </c>
      <c r="D13" s="703">
        <v>4</v>
      </c>
      <c r="E13" s="703">
        <v>24</v>
      </c>
      <c r="F13" s="703">
        <v>24</v>
      </c>
      <c r="G13" s="703">
        <f t="shared" si="0"/>
        <v>2764.7999999999997</v>
      </c>
    </row>
    <row r="14" spans="1:7" x14ac:dyDescent="0.25">
      <c r="A14" s="41" t="s">
        <v>3495</v>
      </c>
      <c r="B14" s="703">
        <v>15</v>
      </c>
      <c r="C14" s="703">
        <v>0.09</v>
      </c>
      <c r="D14" s="703">
        <v>10</v>
      </c>
      <c r="E14" s="703">
        <v>24</v>
      </c>
      <c r="F14" s="703">
        <v>24</v>
      </c>
      <c r="G14" s="703">
        <f t="shared" si="0"/>
        <v>7776</v>
      </c>
    </row>
    <row r="15" spans="1:7" x14ac:dyDescent="0.25">
      <c r="A15" s="41" t="s">
        <v>3496</v>
      </c>
      <c r="B15" s="703">
        <v>1</v>
      </c>
      <c r="C15" s="703">
        <v>2.5</v>
      </c>
      <c r="D15" s="703">
        <v>24</v>
      </c>
      <c r="E15" s="703">
        <v>24</v>
      </c>
      <c r="F15" s="703">
        <v>24</v>
      </c>
      <c r="G15" s="703">
        <f t="shared" si="0"/>
        <v>34560</v>
      </c>
    </row>
    <row r="16" spans="1:7" x14ac:dyDescent="0.25">
      <c r="A16" s="707" t="s">
        <v>3497</v>
      </c>
      <c r="B16" s="708"/>
      <c r="C16" s="708"/>
      <c r="D16" s="708"/>
      <c r="E16" s="708"/>
      <c r="F16" s="708"/>
      <c r="G16" s="708"/>
    </row>
    <row r="17" spans="1:7" x14ac:dyDescent="0.25">
      <c r="A17" s="41" t="s">
        <v>3498</v>
      </c>
      <c r="B17" s="703">
        <v>1</v>
      </c>
      <c r="C17" s="703">
        <v>1</v>
      </c>
      <c r="D17" s="703">
        <v>4</v>
      </c>
      <c r="E17" s="703">
        <v>15</v>
      </c>
      <c r="F17" s="703">
        <v>24</v>
      </c>
      <c r="G17" s="703">
        <f t="shared" si="0"/>
        <v>1440</v>
      </c>
    </row>
    <row r="18" spans="1:7" x14ac:dyDescent="0.25">
      <c r="A18" s="41" t="s">
        <v>3499</v>
      </c>
      <c r="B18" s="703">
        <v>1</v>
      </c>
      <c r="C18" s="703">
        <v>2</v>
      </c>
      <c r="D18" s="703">
        <v>4</v>
      </c>
      <c r="E18" s="703">
        <v>25</v>
      </c>
      <c r="F18" s="703">
        <v>24</v>
      </c>
      <c r="G18" s="703">
        <f t="shared" si="0"/>
        <v>4800</v>
      </c>
    </row>
    <row r="19" spans="1:7" x14ac:dyDescent="0.25">
      <c r="A19" s="707" t="s">
        <v>2365</v>
      </c>
      <c r="B19" s="708"/>
      <c r="C19" s="708"/>
      <c r="D19" s="708"/>
      <c r="E19" s="708"/>
      <c r="F19" s="708"/>
      <c r="G19" s="708"/>
    </row>
    <row r="20" spans="1:7" x14ac:dyDescent="0.25">
      <c r="A20" s="41" t="s">
        <v>2365</v>
      </c>
      <c r="B20" s="703">
        <v>1</v>
      </c>
      <c r="C20" s="703">
        <v>20</v>
      </c>
      <c r="D20" s="703">
        <v>8</v>
      </c>
      <c r="E20" s="703">
        <v>23</v>
      </c>
      <c r="F20" s="703">
        <v>24</v>
      </c>
      <c r="G20" s="703">
        <f t="shared" si="0"/>
        <v>88320</v>
      </c>
    </row>
    <row r="21" spans="1:7" x14ac:dyDescent="0.25">
      <c r="A21" s="709" t="s">
        <v>3500</v>
      </c>
      <c r="B21" s="710"/>
      <c r="C21" s="710"/>
      <c r="D21" s="710"/>
      <c r="E21" s="710"/>
      <c r="F21" s="710"/>
      <c r="G21" s="711">
        <f>SUM(G6:G20)</f>
        <v>421340.8</v>
      </c>
    </row>
    <row r="23" spans="1:7" x14ac:dyDescent="0.25">
      <c r="G23" s="49"/>
    </row>
    <row r="24" spans="1:7" ht="18.75" x14ac:dyDescent="0.3">
      <c r="A24" s="765" t="s">
        <v>3513</v>
      </c>
      <c r="B24" s="765"/>
      <c r="C24" s="765"/>
      <c r="D24" s="765"/>
      <c r="E24" s="765"/>
      <c r="F24" s="765"/>
      <c r="G24" s="765"/>
    </row>
    <row r="26" spans="1:7" x14ac:dyDescent="0.25">
      <c r="A26" s="766" t="s">
        <v>2378</v>
      </c>
      <c r="B26" s="766" t="s">
        <v>3479</v>
      </c>
      <c r="C26" s="771" t="s">
        <v>3501</v>
      </c>
      <c r="D26" s="768" t="s">
        <v>3481</v>
      </c>
      <c r="E26" s="769"/>
      <c r="F26" s="770"/>
      <c r="G26" s="771" t="s">
        <v>3502</v>
      </c>
    </row>
    <row r="27" spans="1:7" ht="31.5" x14ac:dyDescent="0.25">
      <c r="A27" s="767"/>
      <c r="B27" s="767"/>
      <c r="C27" s="772"/>
      <c r="D27" s="706" t="s">
        <v>3483</v>
      </c>
      <c r="E27" s="706" t="s">
        <v>3484</v>
      </c>
      <c r="F27" s="706" t="s">
        <v>3485</v>
      </c>
      <c r="G27" s="772"/>
    </row>
    <row r="28" spans="1:7" x14ac:dyDescent="0.25">
      <c r="A28" s="41" t="s">
        <v>3486</v>
      </c>
      <c r="B28" s="41"/>
      <c r="C28" s="41"/>
      <c r="D28" s="702"/>
      <c r="E28" s="702"/>
      <c r="F28" s="702"/>
      <c r="G28" s="41"/>
    </row>
    <row r="29" spans="1:7" x14ac:dyDescent="0.25">
      <c r="A29" s="41" t="s">
        <v>3503</v>
      </c>
      <c r="B29" s="703">
        <v>1</v>
      </c>
      <c r="C29" s="703">
        <v>4000</v>
      </c>
      <c r="D29" s="703">
        <v>4</v>
      </c>
      <c r="E29" s="703">
        <v>20</v>
      </c>
      <c r="F29" s="703">
        <v>12</v>
      </c>
      <c r="G29" s="703">
        <f>+F29*E29*D29*C29*B29/1000</f>
        <v>3840</v>
      </c>
    </row>
    <row r="30" spans="1:7" x14ac:dyDescent="0.25">
      <c r="A30" s="41" t="s">
        <v>3504</v>
      </c>
      <c r="B30" s="703">
        <v>1</v>
      </c>
      <c r="C30" s="703">
        <v>1000</v>
      </c>
      <c r="D30" s="703">
        <v>4</v>
      </c>
      <c r="E30" s="703">
        <v>25</v>
      </c>
      <c r="F30" s="703">
        <v>6</v>
      </c>
      <c r="G30" s="703">
        <f>+F30*E30*D30*C30*B30/1000</f>
        <v>600</v>
      </c>
    </row>
    <row r="31" spans="1:7" ht="31.5" x14ac:dyDescent="0.25">
      <c r="A31" s="712" t="s">
        <v>3505</v>
      </c>
      <c r="B31" s="706" t="s">
        <v>3506</v>
      </c>
      <c r="C31" s="706" t="s">
        <v>3507</v>
      </c>
      <c r="D31" s="712"/>
      <c r="E31" s="712"/>
      <c r="F31" s="712"/>
      <c r="G31" s="706" t="s">
        <v>3502</v>
      </c>
    </row>
    <row r="32" spans="1:7" x14ac:dyDescent="0.25">
      <c r="A32" s="705" t="s">
        <v>3508</v>
      </c>
      <c r="B32" s="705"/>
      <c r="C32" s="705"/>
      <c r="D32" s="705"/>
      <c r="E32" s="705"/>
      <c r="F32" s="705"/>
      <c r="G32" s="705"/>
    </row>
    <row r="33" spans="1:7" x14ac:dyDescent="0.25">
      <c r="A33" s="41"/>
      <c r="B33" s="703"/>
      <c r="C33" s="703"/>
      <c r="D33" s="703"/>
      <c r="E33" s="703"/>
      <c r="F33" s="703"/>
      <c r="G33" s="703"/>
    </row>
    <row r="34" spans="1:7" x14ac:dyDescent="0.25">
      <c r="A34" s="41"/>
      <c r="B34" s="41"/>
      <c r="C34" s="41"/>
      <c r="D34" s="41"/>
      <c r="E34" s="41"/>
      <c r="F34" s="41"/>
      <c r="G34" s="41"/>
    </row>
    <row r="35" spans="1:7" ht="31.5" x14ac:dyDescent="0.25">
      <c r="A35" s="712" t="s">
        <v>2570</v>
      </c>
      <c r="B35" s="706" t="s">
        <v>3509</v>
      </c>
      <c r="C35" s="706" t="s">
        <v>3510</v>
      </c>
      <c r="D35" s="712"/>
      <c r="E35" s="706" t="s">
        <v>3484</v>
      </c>
      <c r="F35" s="706" t="s">
        <v>3485</v>
      </c>
      <c r="G35" s="706" t="s">
        <v>3502</v>
      </c>
    </row>
    <row r="36" spans="1:7" x14ac:dyDescent="0.25">
      <c r="A36" s="704" t="s">
        <v>3491</v>
      </c>
      <c r="B36" s="704"/>
      <c r="C36" s="704"/>
      <c r="D36" s="704"/>
      <c r="E36" s="704"/>
      <c r="F36" s="704"/>
      <c r="G36" s="704"/>
    </row>
    <row r="37" spans="1:7" x14ac:dyDescent="0.25">
      <c r="A37" s="41" t="s">
        <v>3511</v>
      </c>
      <c r="B37" s="703">
        <v>50</v>
      </c>
      <c r="C37" s="703">
        <v>0.05</v>
      </c>
      <c r="D37" s="703"/>
      <c r="E37" s="703">
        <v>26</v>
      </c>
      <c r="F37" s="703">
        <v>28</v>
      </c>
      <c r="G37" s="703">
        <f>+F37*E37*C37*B37</f>
        <v>1820</v>
      </c>
    </row>
    <row r="38" spans="1:7" x14ac:dyDescent="0.25">
      <c r="A38" s="41"/>
      <c r="B38" s="41"/>
      <c r="C38" s="41"/>
      <c r="D38" s="41"/>
      <c r="E38" s="41"/>
      <c r="F38" s="41"/>
      <c r="G38" s="41"/>
    </row>
    <row r="39" spans="1:7" x14ac:dyDescent="0.25">
      <c r="A39" s="704" t="s">
        <v>3497</v>
      </c>
      <c r="B39" s="704"/>
      <c r="C39" s="704"/>
      <c r="D39" s="704"/>
      <c r="E39" s="704"/>
      <c r="F39" s="704"/>
      <c r="G39" s="704"/>
    </row>
    <row r="40" spans="1:7" x14ac:dyDescent="0.25">
      <c r="A40" s="41" t="s">
        <v>3499</v>
      </c>
      <c r="B40" s="703">
        <v>1</v>
      </c>
      <c r="C40" s="703">
        <v>5</v>
      </c>
      <c r="D40" s="703"/>
      <c r="E40" s="703">
        <v>30</v>
      </c>
      <c r="F40" s="703">
        <v>28</v>
      </c>
      <c r="G40" s="703">
        <f>+F40*E40*C40*B40</f>
        <v>4200</v>
      </c>
    </row>
    <row r="41" spans="1:7" x14ac:dyDescent="0.25">
      <c r="A41" s="709" t="s">
        <v>3500</v>
      </c>
      <c r="B41" s="710"/>
      <c r="C41" s="710"/>
      <c r="D41" s="710"/>
      <c r="E41" s="710"/>
      <c r="F41" s="710"/>
      <c r="G41" s="711">
        <f>SUM(G29:G40)</f>
        <v>10460</v>
      </c>
    </row>
    <row r="43" spans="1:7" x14ac:dyDescent="0.25">
      <c r="G43" s="49">
        <f>'Adm Local Obra'!I21</f>
        <v>4075.0416666666665</v>
      </c>
    </row>
  </sheetData>
  <mergeCells count="12">
    <mergeCell ref="A1:G1"/>
    <mergeCell ref="A3:A4"/>
    <mergeCell ref="D3:F3"/>
    <mergeCell ref="A24:G24"/>
    <mergeCell ref="A26:A27"/>
    <mergeCell ref="D26:F26"/>
    <mergeCell ref="B3:B4"/>
    <mergeCell ref="C3:C4"/>
    <mergeCell ref="G3:G4"/>
    <mergeCell ref="B26:B27"/>
    <mergeCell ref="C26:C27"/>
    <mergeCell ref="G26:G27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rgb="FF00B0F0"/>
  </sheetPr>
  <dimension ref="A1:BG73"/>
  <sheetViews>
    <sheetView topLeftCell="A28" zoomScaleNormal="100" workbookViewId="0">
      <selection activeCell="A53" sqref="A53"/>
    </sheetView>
  </sheetViews>
  <sheetFormatPr defaultColWidth="10.25" defaultRowHeight="12" x14ac:dyDescent="0.2"/>
  <cols>
    <col min="1" max="1" width="6" style="286" customWidth="1"/>
    <col min="2" max="2" width="33.375" style="286" customWidth="1"/>
    <col min="3" max="3" width="11.875" style="284" bestFit="1" customWidth="1"/>
    <col min="4" max="4" width="15.25" style="286" bestFit="1" customWidth="1"/>
    <col min="5" max="5" width="6.5" style="284" customWidth="1"/>
    <col min="6" max="6" width="13" style="284" customWidth="1"/>
    <col min="7" max="7" width="6.625" style="284" customWidth="1"/>
    <col min="8" max="8" width="15.75" style="284" customWidth="1"/>
    <col min="9" max="9" width="6.625" style="284" customWidth="1"/>
    <col min="10" max="10" width="14.25" style="284" customWidth="1"/>
    <col min="11" max="11" width="6.625" style="284" customWidth="1"/>
    <col min="12" max="12" width="15.375" style="284" customWidth="1"/>
    <col min="13" max="13" width="7.875" style="284" bestFit="1" customWidth="1"/>
    <col min="14" max="14" width="15.875" style="284" customWidth="1"/>
    <col min="15" max="15" width="6.625" style="284" customWidth="1"/>
    <col min="16" max="16" width="15.875" style="284" customWidth="1"/>
    <col min="17" max="17" width="7" style="284" customWidth="1"/>
    <col min="18" max="18" width="14.5" style="284" customWidth="1"/>
    <col min="19" max="19" width="6.625" style="284" bestFit="1" customWidth="1"/>
    <col min="20" max="20" width="14.5" style="284" customWidth="1"/>
    <col min="21" max="21" width="6.625" style="284" bestFit="1" customWidth="1"/>
    <col min="22" max="22" width="14.875" style="284" customWidth="1"/>
    <col min="23" max="23" width="6.625" style="284" bestFit="1" customWidth="1"/>
    <col min="24" max="24" width="15.125" style="284" customWidth="1"/>
    <col min="25" max="25" width="6.625" style="284" bestFit="1" customWidth="1"/>
    <col min="26" max="26" width="15" style="284" customWidth="1"/>
    <col min="27" max="27" width="6.625" style="284" bestFit="1" customWidth="1"/>
    <col min="28" max="28" width="14.875" style="284" customWidth="1"/>
    <col min="29" max="29" width="6.625" style="284" bestFit="1" customWidth="1"/>
    <col min="30" max="30" width="16.75" style="284" bestFit="1" customWidth="1"/>
    <col min="31" max="31" width="8.625" style="284" bestFit="1" customWidth="1"/>
    <col min="32" max="32" width="17.375" style="284" bestFit="1" customWidth="1"/>
    <col min="33" max="33" width="6.625" style="284" customWidth="1"/>
    <col min="34" max="34" width="15.75" style="284" customWidth="1"/>
    <col min="35" max="35" width="7.125" style="284" bestFit="1" customWidth="1"/>
    <col min="36" max="36" width="14.875" style="284" customWidth="1"/>
    <col min="37" max="37" width="6.625" style="284" bestFit="1" customWidth="1"/>
    <col min="38" max="38" width="16.75" style="284" customWidth="1"/>
    <col min="39" max="39" width="6.625" style="284" bestFit="1" customWidth="1"/>
    <col min="40" max="40" width="14.75" style="284" customWidth="1"/>
    <col min="41" max="41" width="6.625" style="284" bestFit="1" customWidth="1"/>
    <col min="42" max="42" width="15.25" style="284" customWidth="1"/>
    <col min="43" max="43" width="6.625" style="284" bestFit="1" customWidth="1"/>
    <col min="44" max="44" width="15.5" style="284" customWidth="1"/>
    <col min="45" max="45" width="6.625" style="284" bestFit="1" customWidth="1"/>
    <col min="46" max="46" width="14.5" style="284" customWidth="1"/>
    <col min="47" max="47" width="6.625" style="284" bestFit="1" customWidth="1"/>
    <col min="48" max="48" width="14.75" style="284" customWidth="1"/>
    <col min="49" max="49" width="6.625" style="284" bestFit="1" customWidth="1"/>
    <col min="50" max="50" width="14.75" style="284" customWidth="1"/>
    <col min="51" max="51" width="7.5" style="284" customWidth="1"/>
    <col min="52" max="52" width="14.25" style="284" customWidth="1"/>
    <col min="53" max="53" width="14.875" style="284" customWidth="1"/>
    <col min="54" max="54" width="8.625" style="285" customWidth="1"/>
    <col min="55" max="55" width="15" style="286" bestFit="1" customWidth="1"/>
    <col min="56" max="16384" width="10.25" style="286"/>
  </cols>
  <sheetData>
    <row r="1" spans="1:59" ht="14.25" x14ac:dyDescent="0.2">
      <c r="A1" s="281"/>
      <c r="B1" s="281"/>
      <c r="C1" s="281"/>
      <c r="D1" s="282"/>
      <c r="E1" s="283"/>
      <c r="F1" s="283"/>
      <c r="G1" s="283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  <c r="AI1" s="281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  <c r="AW1" s="281"/>
      <c r="AX1" s="281"/>
      <c r="AY1" s="281"/>
      <c r="AZ1" s="281"/>
      <c r="BB1" s="286"/>
    </row>
    <row r="2" spans="1:59" ht="16.149999999999999" customHeight="1" x14ac:dyDescent="0.2">
      <c r="A2" s="783"/>
      <c r="B2" s="784"/>
      <c r="C2" s="784"/>
      <c r="D2" s="785"/>
      <c r="E2" s="774" t="s">
        <v>294</v>
      </c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  <c r="R2" s="793"/>
      <c r="S2" s="774" t="s">
        <v>294</v>
      </c>
      <c r="T2" s="775"/>
      <c r="U2" s="775"/>
      <c r="V2" s="775"/>
      <c r="W2" s="775"/>
      <c r="X2" s="775"/>
      <c r="Y2" s="775"/>
      <c r="Z2" s="775"/>
      <c r="AA2" s="775"/>
      <c r="AB2" s="775"/>
      <c r="AC2" s="775"/>
      <c r="AD2" s="775"/>
      <c r="AE2" s="775"/>
      <c r="AF2" s="775"/>
      <c r="AG2" s="322"/>
      <c r="AH2" s="322"/>
      <c r="AI2" s="322"/>
      <c r="AJ2" s="322"/>
      <c r="AK2" s="322"/>
      <c r="AL2" s="322"/>
      <c r="AM2" s="774" t="s">
        <v>294</v>
      </c>
      <c r="AN2" s="775"/>
      <c r="AO2" s="775"/>
      <c r="AP2" s="775"/>
      <c r="AQ2" s="775"/>
      <c r="AR2" s="775"/>
      <c r="AS2" s="775"/>
      <c r="AT2" s="775"/>
      <c r="AU2" s="781" t="s">
        <v>294</v>
      </c>
      <c r="AV2" s="781"/>
      <c r="AW2" s="781"/>
      <c r="AX2" s="781"/>
      <c r="AY2" s="781"/>
      <c r="AZ2" s="781"/>
      <c r="BA2" s="781"/>
      <c r="BB2" s="286"/>
    </row>
    <row r="3" spans="1:59" ht="13.15" customHeight="1" x14ac:dyDescent="0.2">
      <c r="A3" s="786"/>
      <c r="B3" s="787"/>
      <c r="C3" s="787"/>
      <c r="D3" s="788"/>
      <c r="E3" s="776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94"/>
      <c r="S3" s="776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77"/>
      <c r="AF3" s="777"/>
      <c r="AG3" s="323"/>
      <c r="AH3" s="323"/>
      <c r="AI3" s="323"/>
      <c r="AJ3" s="323"/>
      <c r="AK3" s="323"/>
      <c r="AL3" s="323"/>
      <c r="AM3" s="776"/>
      <c r="AN3" s="777"/>
      <c r="AO3" s="777"/>
      <c r="AP3" s="777"/>
      <c r="AQ3" s="777"/>
      <c r="AR3" s="777"/>
      <c r="AS3" s="777"/>
      <c r="AT3" s="777"/>
      <c r="AU3" s="781"/>
      <c r="AV3" s="781"/>
      <c r="AW3" s="781"/>
      <c r="AX3" s="781"/>
      <c r="AY3" s="781"/>
      <c r="AZ3" s="781"/>
      <c r="BA3" s="781"/>
      <c r="BB3" s="286"/>
    </row>
    <row r="4" spans="1:59" ht="13.15" customHeight="1" x14ac:dyDescent="0.2">
      <c r="A4" s="786"/>
      <c r="B4" s="787"/>
      <c r="C4" s="787"/>
      <c r="D4" s="788"/>
      <c r="E4" s="795" t="s">
        <v>295</v>
      </c>
      <c r="F4" s="796"/>
      <c r="G4" s="796"/>
      <c r="H4" s="796"/>
      <c r="I4" s="796"/>
      <c r="J4" s="796"/>
      <c r="K4" s="796"/>
      <c r="L4" s="796"/>
      <c r="M4" s="796"/>
      <c r="N4" s="796"/>
      <c r="O4" s="796"/>
      <c r="P4" s="796"/>
      <c r="Q4" s="796"/>
      <c r="R4" s="797"/>
      <c r="S4" s="774" t="s">
        <v>295</v>
      </c>
      <c r="T4" s="775"/>
      <c r="U4" s="775"/>
      <c r="V4" s="775"/>
      <c r="W4" s="775"/>
      <c r="X4" s="775"/>
      <c r="Y4" s="775"/>
      <c r="Z4" s="775"/>
      <c r="AA4" s="775"/>
      <c r="AB4" s="775"/>
      <c r="AC4" s="775"/>
      <c r="AD4" s="775"/>
      <c r="AE4" s="775"/>
      <c r="AF4" s="775"/>
      <c r="AG4" s="322"/>
      <c r="AH4" s="322"/>
      <c r="AI4" s="322"/>
      <c r="AJ4" s="322"/>
      <c r="AK4" s="322"/>
      <c r="AL4" s="322"/>
      <c r="AM4" s="774" t="s">
        <v>295</v>
      </c>
      <c r="AN4" s="775"/>
      <c r="AO4" s="775"/>
      <c r="AP4" s="775"/>
      <c r="AQ4" s="775"/>
      <c r="AR4" s="775"/>
      <c r="AS4" s="775"/>
      <c r="AT4" s="775"/>
      <c r="AU4" s="781" t="s">
        <v>295</v>
      </c>
      <c r="AV4" s="781"/>
      <c r="AW4" s="781"/>
      <c r="AX4" s="781"/>
      <c r="AY4" s="781"/>
      <c r="AZ4" s="781"/>
      <c r="BA4" s="781"/>
      <c r="BB4" s="286"/>
    </row>
    <row r="5" spans="1:59" ht="13.15" customHeight="1" x14ac:dyDescent="0.2">
      <c r="A5" s="786"/>
      <c r="B5" s="787"/>
      <c r="C5" s="787"/>
      <c r="D5" s="788"/>
      <c r="E5" s="798"/>
      <c r="F5" s="799"/>
      <c r="G5" s="799"/>
      <c r="H5" s="799"/>
      <c r="I5" s="799"/>
      <c r="J5" s="799"/>
      <c r="K5" s="799"/>
      <c r="L5" s="799"/>
      <c r="M5" s="799"/>
      <c r="N5" s="799"/>
      <c r="O5" s="799"/>
      <c r="P5" s="799"/>
      <c r="Q5" s="799"/>
      <c r="R5" s="800"/>
      <c r="S5" s="776"/>
      <c r="T5" s="777"/>
      <c r="U5" s="777"/>
      <c r="V5" s="777"/>
      <c r="W5" s="777"/>
      <c r="X5" s="777"/>
      <c r="Y5" s="777"/>
      <c r="Z5" s="777"/>
      <c r="AA5" s="777"/>
      <c r="AB5" s="777"/>
      <c r="AC5" s="777"/>
      <c r="AD5" s="777"/>
      <c r="AE5" s="777"/>
      <c r="AF5" s="777"/>
      <c r="AG5" s="323"/>
      <c r="AH5" s="323"/>
      <c r="AI5" s="323"/>
      <c r="AJ5" s="323"/>
      <c r="AK5" s="323"/>
      <c r="AL5" s="323"/>
      <c r="AM5" s="776"/>
      <c r="AN5" s="777"/>
      <c r="AO5" s="777"/>
      <c r="AP5" s="777"/>
      <c r="AQ5" s="777"/>
      <c r="AR5" s="777"/>
      <c r="AS5" s="777"/>
      <c r="AT5" s="777"/>
      <c r="AU5" s="781"/>
      <c r="AV5" s="781"/>
      <c r="AW5" s="781"/>
      <c r="AX5" s="781"/>
      <c r="AY5" s="781"/>
      <c r="AZ5" s="781"/>
      <c r="BA5" s="781"/>
      <c r="BB5" s="286"/>
    </row>
    <row r="6" spans="1:59" ht="13.15" customHeight="1" x14ac:dyDescent="0.2">
      <c r="A6" s="786"/>
      <c r="B6" s="787"/>
      <c r="C6" s="787"/>
      <c r="D6" s="788"/>
      <c r="E6" s="795" t="s">
        <v>2375</v>
      </c>
      <c r="F6" s="796"/>
      <c r="G6" s="796"/>
      <c r="H6" s="796"/>
      <c r="I6" s="796"/>
      <c r="J6" s="796"/>
      <c r="K6" s="796"/>
      <c r="L6" s="796"/>
      <c r="M6" s="796"/>
      <c r="N6" s="796"/>
      <c r="O6" s="796"/>
      <c r="P6" s="796"/>
      <c r="Q6" s="796"/>
      <c r="R6" s="797"/>
      <c r="S6" s="774" t="s">
        <v>2375</v>
      </c>
      <c r="T6" s="775"/>
      <c r="U6" s="775"/>
      <c r="V6" s="775"/>
      <c r="W6" s="775"/>
      <c r="X6" s="775"/>
      <c r="Y6" s="775"/>
      <c r="Z6" s="775"/>
      <c r="AA6" s="775"/>
      <c r="AB6" s="775"/>
      <c r="AC6" s="775"/>
      <c r="AD6" s="775"/>
      <c r="AE6" s="775"/>
      <c r="AF6" s="775"/>
      <c r="AG6" s="322"/>
      <c r="AH6" s="322"/>
      <c r="AI6" s="322"/>
      <c r="AJ6" s="322"/>
      <c r="AK6" s="322"/>
      <c r="AL6" s="322"/>
      <c r="AM6" s="774" t="s">
        <v>2375</v>
      </c>
      <c r="AN6" s="775"/>
      <c r="AO6" s="775"/>
      <c r="AP6" s="775"/>
      <c r="AQ6" s="775"/>
      <c r="AR6" s="775"/>
      <c r="AS6" s="775"/>
      <c r="AT6" s="775"/>
      <c r="AU6" s="781" t="s">
        <v>2375</v>
      </c>
      <c r="AV6" s="781"/>
      <c r="AW6" s="781"/>
      <c r="AX6" s="781"/>
      <c r="AY6" s="781"/>
      <c r="AZ6" s="781"/>
      <c r="BA6" s="781"/>
      <c r="BB6" s="286"/>
    </row>
    <row r="7" spans="1:59" ht="13.15" customHeight="1" x14ac:dyDescent="0.2">
      <c r="A7" s="789"/>
      <c r="B7" s="790"/>
      <c r="C7" s="790"/>
      <c r="D7" s="791"/>
      <c r="E7" s="798"/>
      <c r="F7" s="799"/>
      <c r="G7" s="799"/>
      <c r="H7" s="799"/>
      <c r="I7" s="799"/>
      <c r="J7" s="799"/>
      <c r="K7" s="799"/>
      <c r="L7" s="799"/>
      <c r="M7" s="799"/>
      <c r="N7" s="799"/>
      <c r="O7" s="799"/>
      <c r="P7" s="799"/>
      <c r="Q7" s="799"/>
      <c r="R7" s="800"/>
      <c r="S7" s="776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77"/>
      <c r="AF7" s="777"/>
      <c r="AG7" s="323"/>
      <c r="AH7" s="323"/>
      <c r="AI7" s="323"/>
      <c r="AJ7" s="323"/>
      <c r="AK7" s="323"/>
      <c r="AL7" s="323"/>
      <c r="AM7" s="776"/>
      <c r="AN7" s="777"/>
      <c r="AO7" s="777"/>
      <c r="AP7" s="777"/>
      <c r="AQ7" s="777"/>
      <c r="AR7" s="777"/>
      <c r="AS7" s="777"/>
      <c r="AT7" s="777"/>
      <c r="AU7" s="781"/>
      <c r="AV7" s="781"/>
      <c r="AW7" s="781"/>
      <c r="AX7" s="781"/>
      <c r="AY7" s="781"/>
      <c r="AZ7" s="781"/>
      <c r="BA7" s="781"/>
      <c r="BB7" s="286"/>
    </row>
    <row r="8" spans="1:59" ht="6" customHeight="1" x14ac:dyDescent="0.2">
      <c r="A8" s="281"/>
      <c r="B8" s="281"/>
      <c r="C8" s="281"/>
      <c r="D8" s="282"/>
      <c r="E8" s="283"/>
      <c r="F8" s="283"/>
      <c r="G8" s="283"/>
      <c r="H8" s="281"/>
      <c r="I8" s="281"/>
      <c r="J8" s="289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  <c r="AN8" s="289"/>
      <c r="AO8" s="289"/>
      <c r="AP8" s="289"/>
      <c r="AQ8" s="289"/>
      <c r="AR8" s="289"/>
      <c r="AS8" s="289"/>
      <c r="AT8" s="289"/>
      <c r="AU8" s="325"/>
      <c r="AV8" s="324"/>
      <c r="AW8" s="324"/>
      <c r="AX8" s="324"/>
      <c r="AY8" s="324"/>
      <c r="AZ8" s="324"/>
      <c r="BA8" s="290"/>
      <c r="BB8" s="286"/>
    </row>
    <row r="9" spans="1:59" ht="17.45" customHeight="1" x14ac:dyDescent="0.2">
      <c r="A9" s="539"/>
      <c r="B9" s="540"/>
      <c r="C9" s="540"/>
      <c r="D9" s="540"/>
      <c r="E9" s="792" t="s">
        <v>2376</v>
      </c>
      <c r="F9" s="778"/>
      <c r="G9" s="778"/>
      <c r="H9" s="778"/>
      <c r="I9" s="778"/>
      <c r="J9" s="778"/>
      <c r="K9" s="778"/>
      <c r="L9" s="778"/>
      <c r="M9" s="778"/>
      <c r="N9" s="778"/>
      <c r="O9" s="778"/>
      <c r="P9" s="778"/>
      <c r="Q9" s="778"/>
      <c r="R9" s="778"/>
      <c r="S9" s="778" t="s">
        <v>2376</v>
      </c>
      <c r="T9" s="778"/>
      <c r="U9" s="778"/>
      <c r="V9" s="778"/>
      <c r="W9" s="778"/>
      <c r="X9" s="778"/>
      <c r="Y9" s="778"/>
      <c r="Z9" s="778"/>
      <c r="AA9" s="778"/>
      <c r="AB9" s="778"/>
      <c r="AC9" s="778"/>
      <c r="AD9" s="778"/>
      <c r="AE9" s="778"/>
      <c r="AF9" s="778"/>
      <c r="AG9" s="540"/>
      <c r="AH9" s="540"/>
      <c r="AI9" s="540"/>
      <c r="AJ9" s="540"/>
      <c r="AK9" s="540"/>
      <c r="AL9" s="540"/>
      <c r="AM9" s="778" t="s">
        <v>2376</v>
      </c>
      <c r="AN9" s="778"/>
      <c r="AO9" s="778"/>
      <c r="AP9" s="778"/>
      <c r="AQ9" s="778"/>
      <c r="AR9" s="778"/>
      <c r="AS9" s="778"/>
      <c r="AT9" s="778"/>
      <c r="AU9" s="782" t="s">
        <v>2376</v>
      </c>
      <c r="AV9" s="782"/>
      <c r="AW9" s="782"/>
      <c r="AX9" s="782"/>
      <c r="AY9" s="782"/>
      <c r="AZ9" s="782"/>
      <c r="BA9" s="782"/>
      <c r="BB9" s="286"/>
    </row>
    <row r="10" spans="1:59" ht="4.9000000000000004" customHeight="1" x14ac:dyDescent="0.2">
      <c r="AU10" s="806"/>
      <c r="AV10" s="806"/>
      <c r="AW10" s="806"/>
      <c r="AX10" s="806"/>
      <c r="AY10" s="806"/>
      <c r="AZ10" s="806"/>
      <c r="BB10" s="286"/>
    </row>
    <row r="11" spans="1:59" s="295" customFormat="1" ht="14.25" x14ac:dyDescent="0.2">
      <c r="A11" s="803" t="str">
        <f>Orçamento!A10</f>
        <v>Obra: Conclusão do Centro Integrado de Referência Médica de Picos</v>
      </c>
      <c r="B11" s="803"/>
      <c r="C11" s="803"/>
      <c r="D11" s="803"/>
      <c r="E11" s="803"/>
      <c r="F11" s="803"/>
      <c r="G11" s="803"/>
      <c r="H11" s="803"/>
      <c r="I11" s="804" t="str">
        <f>Orçamento!F10</f>
        <v>Município: Picos - PI</v>
      </c>
      <c r="J11" s="805"/>
      <c r="K11" s="805"/>
      <c r="L11" s="805"/>
      <c r="M11" s="805"/>
      <c r="N11" s="805"/>
      <c r="O11" s="805"/>
      <c r="P11" s="805"/>
      <c r="Q11" s="291"/>
      <c r="R11" s="292"/>
      <c r="S11" s="293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2"/>
      <c r="BB11" s="286"/>
      <c r="BC11" s="286"/>
      <c r="BD11" s="286"/>
      <c r="BE11" s="286"/>
      <c r="BF11" s="286"/>
      <c r="BG11" s="286"/>
    </row>
    <row r="12" spans="1:59" s="295" customFormat="1" ht="14.25" x14ac:dyDescent="0.2">
      <c r="A12" s="803" t="str">
        <f>Orçamento!A11</f>
        <v>Endereço: Zona Urbana</v>
      </c>
      <c r="B12" s="803"/>
      <c r="C12" s="803"/>
      <c r="D12" s="803"/>
      <c r="E12" s="803"/>
      <c r="F12" s="803"/>
      <c r="G12" s="803"/>
      <c r="H12" s="803"/>
      <c r="I12" s="804" t="str">
        <f>Orçamento!F11</f>
        <v>Data Base: Setembro/2016 (C/ Desoneração)</v>
      </c>
      <c r="J12" s="805"/>
      <c r="K12" s="805"/>
      <c r="L12" s="805"/>
      <c r="M12" s="805"/>
      <c r="N12" s="805"/>
      <c r="O12" s="805"/>
      <c r="P12" s="805"/>
      <c r="Q12" s="296"/>
      <c r="R12" s="297"/>
      <c r="S12" s="298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296"/>
      <c r="AN12" s="296"/>
      <c r="AO12" s="296"/>
      <c r="AP12" s="296"/>
      <c r="AQ12" s="296"/>
      <c r="AR12" s="296"/>
      <c r="AS12" s="296"/>
      <c r="AT12" s="296"/>
      <c r="AU12" s="296"/>
      <c r="AV12" s="296"/>
      <c r="AW12" s="296"/>
      <c r="AX12" s="296"/>
      <c r="AY12" s="296"/>
      <c r="AZ12" s="296"/>
      <c r="BA12" s="297"/>
      <c r="BB12" s="294"/>
    </row>
    <row r="13" spans="1:59" s="295" customFormat="1" ht="14.25" x14ac:dyDescent="0.2">
      <c r="A13" s="803" t="s">
        <v>2377</v>
      </c>
      <c r="B13" s="803"/>
      <c r="C13" s="803"/>
      <c r="D13" s="803"/>
      <c r="E13" s="803"/>
      <c r="F13" s="803"/>
      <c r="G13" s="803"/>
      <c r="H13" s="803"/>
      <c r="I13" s="804"/>
      <c r="J13" s="805"/>
      <c r="K13" s="805"/>
      <c r="L13" s="805"/>
      <c r="M13" s="805"/>
      <c r="N13" s="805"/>
      <c r="O13" s="805"/>
      <c r="P13" s="805"/>
      <c r="Q13" s="299"/>
      <c r="R13" s="300"/>
      <c r="S13" s="301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  <c r="AG13" s="299"/>
      <c r="AH13" s="299"/>
      <c r="AI13" s="299"/>
      <c r="AJ13" s="299"/>
      <c r="AK13" s="299"/>
      <c r="AL13" s="299"/>
      <c r="AM13" s="299"/>
      <c r="AN13" s="299"/>
      <c r="AO13" s="299"/>
      <c r="AP13" s="299"/>
      <c r="AQ13" s="299"/>
      <c r="AR13" s="299"/>
      <c r="AS13" s="299"/>
      <c r="AT13" s="299"/>
      <c r="AU13" s="299"/>
      <c r="AV13" s="299"/>
      <c r="AW13" s="299"/>
      <c r="AX13" s="299"/>
      <c r="AY13" s="299"/>
      <c r="AZ13" s="299"/>
      <c r="BA13" s="300"/>
      <c r="BB13" s="294"/>
    </row>
    <row r="14" spans="1:59" s="380" customFormat="1" ht="7.5" customHeight="1" x14ac:dyDescent="0.2">
      <c r="A14" s="375"/>
      <c r="B14" s="376"/>
      <c r="C14" s="376"/>
      <c r="D14" s="376"/>
      <c r="E14" s="376"/>
      <c r="F14" s="377"/>
      <c r="G14" s="376"/>
      <c r="H14" s="377"/>
      <c r="I14" s="376"/>
      <c r="J14" s="377"/>
      <c r="K14" s="376"/>
      <c r="L14" s="377"/>
      <c r="M14" s="376"/>
      <c r="N14" s="377"/>
      <c r="O14" s="376"/>
      <c r="P14" s="377"/>
      <c r="Q14" s="376"/>
      <c r="R14" s="377"/>
      <c r="S14" s="376"/>
      <c r="T14" s="377"/>
      <c r="U14" s="376"/>
      <c r="V14" s="377"/>
      <c r="W14" s="376"/>
      <c r="X14" s="377"/>
      <c r="Y14" s="376"/>
      <c r="Z14" s="377"/>
      <c r="AA14" s="376"/>
      <c r="AB14" s="377"/>
      <c r="AC14" s="376"/>
      <c r="AD14" s="377"/>
      <c r="AE14" s="376"/>
      <c r="AF14" s="377"/>
      <c r="AG14" s="376"/>
      <c r="AH14" s="377"/>
      <c r="AI14" s="376"/>
      <c r="AJ14" s="377"/>
      <c r="AK14" s="376"/>
      <c r="AL14" s="377"/>
      <c r="AM14" s="376"/>
      <c r="AN14" s="377"/>
      <c r="AO14" s="376"/>
      <c r="AP14" s="377"/>
      <c r="AQ14" s="376"/>
      <c r="AR14" s="377"/>
      <c r="AS14" s="378"/>
      <c r="AT14" s="377"/>
      <c r="AU14" s="377"/>
      <c r="AV14" s="377"/>
      <c r="AW14" s="379"/>
      <c r="AX14" s="377"/>
      <c r="AY14" s="379"/>
      <c r="AZ14" s="377"/>
      <c r="BA14" s="541"/>
    </row>
    <row r="15" spans="1:59" x14ac:dyDescent="0.2">
      <c r="A15" s="801" t="s">
        <v>2378</v>
      </c>
      <c r="B15" s="801" t="s">
        <v>2379</v>
      </c>
      <c r="C15" s="801" t="s">
        <v>2380</v>
      </c>
      <c r="D15" s="801" t="s">
        <v>2381</v>
      </c>
      <c r="E15" s="779" t="s">
        <v>2382</v>
      </c>
      <c r="F15" s="780"/>
      <c r="G15" s="779" t="s">
        <v>2383</v>
      </c>
      <c r="H15" s="780"/>
      <c r="I15" s="779" t="s">
        <v>2384</v>
      </c>
      <c r="J15" s="780"/>
      <c r="K15" s="779" t="s">
        <v>2385</v>
      </c>
      <c r="L15" s="780"/>
      <c r="M15" s="779" t="s">
        <v>2386</v>
      </c>
      <c r="N15" s="780"/>
      <c r="O15" s="779" t="s">
        <v>2387</v>
      </c>
      <c r="P15" s="780"/>
      <c r="Q15" s="779" t="s">
        <v>2388</v>
      </c>
      <c r="R15" s="780"/>
      <c r="S15" s="779" t="s">
        <v>2389</v>
      </c>
      <c r="T15" s="780"/>
      <c r="U15" s="779" t="s">
        <v>2390</v>
      </c>
      <c r="V15" s="780"/>
      <c r="W15" s="779" t="s">
        <v>2391</v>
      </c>
      <c r="X15" s="780"/>
      <c r="Y15" s="779" t="s">
        <v>2392</v>
      </c>
      <c r="Z15" s="780"/>
      <c r="AA15" s="779" t="s">
        <v>2393</v>
      </c>
      <c r="AB15" s="780"/>
      <c r="AC15" s="779" t="s">
        <v>2394</v>
      </c>
      <c r="AD15" s="780"/>
      <c r="AE15" s="779" t="s">
        <v>2395</v>
      </c>
      <c r="AF15" s="780"/>
      <c r="AG15" s="779" t="s">
        <v>2396</v>
      </c>
      <c r="AH15" s="780"/>
      <c r="AI15" s="779" t="s">
        <v>2397</v>
      </c>
      <c r="AJ15" s="780"/>
      <c r="AK15" s="779" t="s">
        <v>2398</v>
      </c>
      <c r="AL15" s="780"/>
      <c r="AM15" s="779" t="s">
        <v>2399</v>
      </c>
      <c r="AN15" s="780"/>
      <c r="AO15" s="779" t="s">
        <v>2400</v>
      </c>
      <c r="AP15" s="780"/>
      <c r="AQ15" s="779" t="s">
        <v>2401</v>
      </c>
      <c r="AR15" s="780"/>
      <c r="AS15" s="779" t="s">
        <v>2402</v>
      </c>
      <c r="AT15" s="780"/>
      <c r="AU15" s="779" t="s">
        <v>2403</v>
      </c>
      <c r="AV15" s="780"/>
      <c r="AW15" s="779" t="s">
        <v>2404</v>
      </c>
      <c r="AX15" s="780"/>
      <c r="AY15" s="779" t="s">
        <v>2405</v>
      </c>
      <c r="AZ15" s="780"/>
      <c r="BA15" s="801" t="s">
        <v>74</v>
      </c>
    </row>
    <row r="16" spans="1:59" x14ac:dyDescent="0.2">
      <c r="A16" s="802"/>
      <c r="B16" s="802"/>
      <c r="C16" s="802"/>
      <c r="D16" s="802"/>
      <c r="E16" s="321" t="s">
        <v>2406</v>
      </c>
      <c r="F16" s="321" t="s">
        <v>2407</v>
      </c>
      <c r="G16" s="321" t="s">
        <v>2406</v>
      </c>
      <c r="H16" s="321" t="s">
        <v>2407</v>
      </c>
      <c r="I16" s="321" t="s">
        <v>2406</v>
      </c>
      <c r="J16" s="321" t="s">
        <v>2407</v>
      </c>
      <c r="K16" s="321" t="s">
        <v>2406</v>
      </c>
      <c r="L16" s="321" t="s">
        <v>2407</v>
      </c>
      <c r="M16" s="321" t="s">
        <v>2406</v>
      </c>
      <c r="N16" s="321" t="s">
        <v>2407</v>
      </c>
      <c r="O16" s="321" t="s">
        <v>2406</v>
      </c>
      <c r="P16" s="321" t="s">
        <v>2407</v>
      </c>
      <c r="Q16" s="321" t="s">
        <v>2406</v>
      </c>
      <c r="R16" s="321" t="s">
        <v>2407</v>
      </c>
      <c r="S16" s="321" t="s">
        <v>2406</v>
      </c>
      <c r="T16" s="321" t="s">
        <v>2407</v>
      </c>
      <c r="U16" s="321" t="s">
        <v>2406</v>
      </c>
      <c r="V16" s="321" t="s">
        <v>2407</v>
      </c>
      <c r="W16" s="321" t="s">
        <v>2406</v>
      </c>
      <c r="X16" s="321" t="s">
        <v>2407</v>
      </c>
      <c r="Y16" s="321" t="s">
        <v>2406</v>
      </c>
      <c r="Z16" s="321" t="s">
        <v>2407</v>
      </c>
      <c r="AA16" s="321" t="s">
        <v>2406</v>
      </c>
      <c r="AB16" s="321" t="s">
        <v>2407</v>
      </c>
      <c r="AC16" s="321" t="s">
        <v>2406</v>
      </c>
      <c r="AD16" s="321" t="s">
        <v>2407</v>
      </c>
      <c r="AE16" s="321" t="s">
        <v>2406</v>
      </c>
      <c r="AF16" s="321" t="s">
        <v>2407</v>
      </c>
      <c r="AG16" s="321" t="s">
        <v>2406</v>
      </c>
      <c r="AH16" s="321" t="s">
        <v>2407</v>
      </c>
      <c r="AI16" s="321" t="s">
        <v>2406</v>
      </c>
      <c r="AJ16" s="321" t="s">
        <v>2407</v>
      </c>
      <c r="AK16" s="321" t="s">
        <v>2406</v>
      </c>
      <c r="AL16" s="321" t="s">
        <v>2407</v>
      </c>
      <c r="AM16" s="321" t="s">
        <v>2406</v>
      </c>
      <c r="AN16" s="321" t="s">
        <v>2407</v>
      </c>
      <c r="AO16" s="321" t="s">
        <v>2406</v>
      </c>
      <c r="AP16" s="321" t="s">
        <v>2407</v>
      </c>
      <c r="AQ16" s="321" t="s">
        <v>2406</v>
      </c>
      <c r="AR16" s="321" t="s">
        <v>2407</v>
      </c>
      <c r="AS16" s="321" t="s">
        <v>2406</v>
      </c>
      <c r="AT16" s="321" t="s">
        <v>2407</v>
      </c>
      <c r="AU16" s="321" t="s">
        <v>2406</v>
      </c>
      <c r="AV16" s="321" t="s">
        <v>2407</v>
      </c>
      <c r="AW16" s="321" t="s">
        <v>2406</v>
      </c>
      <c r="AX16" s="321" t="s">
        <v>2407</v>
      </c>
      <c r="AY16" s="321" t="s">
        <v>2406</v>
      </c>
      <c r="AZ16" s="321" t="s">
        <v>2407</v>
      </c>
      <c r="BA16" s="802"/>
    </row>
    <row r="17" spans="1:57" ht="5.25" customHeight="1" x14ac:dyDescent="0.2">
      <c r="A17" s="302"/>
      <c r="B17" s="302"/>
      <c r="C17" s="303"/>
      <c r="D17" s="302"/>
      <c r="E17" s="303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2"/>
    </row>
    <row r="18" spans="1:57" ht="12.75" x14ac:dyDescent="0.2">
      <c r="A18" s="305" t="s">
        <v>312</v>
      </c>
      <c r="B18" s="306" t="str">
        <f>VLOOKUP(A18,Orçamento!$A$15:$I$970,4,FALSE)</f>
        <v>SERVIÇOS PRELIMINARES</v>
      </c>
      <c r="C18" s="549">
        <f t="shared" ref="C18:C36" si="0">D18/$D$44</f>
        <v>1.6739807330496303E-2</v>
      </c>
      <c r="D18" s="307">
        <f>VLOOKUP(A18,Orçamento!$A$15:$I$970,9,FALSE)</f>
        <v>530310.32999999996</v>
      </c>
      <c r="E18" s="308">
        <v>50</v>
      </c>
      <c r="F18" s="307">
        <f>ROUND(E18*$D18/100,2)</f>
        <v>265155.17</v>
      </c>
      <c r="G18" s="308">
        <v>50</v>
      </c>
      <c r="H18" s="307">
        <f>D18-F18</f>
        <v>265155.15999999997</v>
      </c>
      <c r="I18" s="308"/>
      <c r="J18" s="307">
        <f>ROUND(I18*$D18/100,2)</f>
        <v>0</v>
      </c>
      <c r="K18" s="308"/>
      <c r="L18" s="307">
        <f t="shared" ref="L18:L36" si="1">ROUND(K18*$D18/100,2)</f>
        <v>0</v>
      </c>
      <c r="M18" s="308"/>
      <c r="N18" s="307"/>
      <c r="O18" s="308"/>
      <c r="P18" s="307"/>
      <c r="Q18" s="308"/>
      <c r="R18" s="307"/>
      <c r="S18" s="308"/>
      <c r="T18" s="307"/>
      <c r="U18" s="308"/>
      <c r="V18" s="307"/>
      <c r="W18" s="308"/>
      <c r="X18" s="307"/>
      <c r="Y18" s="308"/>
      <c r="Z18" s="307"/>
      <c r="AA18" s="308"/>
      <c r="AB18" s="307"/>
      <c r="AC18" s="308"/>
      <c r="AD18" s="307"/>
      <c r="AE18" s="308"/>
      <c r="AF18" s="307"/>
      <c r="AG18" s="308"/>
      <c r="AH18" s="307"/>
      <c r="AI18" s="308"/>
      <c r="AJ18" s="307"/>
      <c r="AK18" s="308"/>
      <c r="AL18" s="307"/>
      <c r="AM18" s="308"/>
      <c r="AN18" s="307"/>
      <c r="AO18" s="308"/>
      <c r="AP18" s="307"/>
      <c r="AQ18" s="308"/>
      <c r="AR18" s="307"/>
      <c r="AS18" s="308"/>
      <c r="AT18" s="307"/>
      <c r="AU18" s="308"/>
      <c r="AV18" s="307"/>
      <c r="AW18" s="308"/>
      <c r="AX18" s="307"/>
      <c r="AY18" s="308"/>
      <c r="AZ18" s="307"/>
      <c r="BA18" s="307">
        <f>AZ18+AX18+AV18+AT18+AR18+AP18+AN18+AL18+AJ18+AH18+AF18+AD18+AB18+Z18+X18+V18+T18+R18+P18+N18+L18+J18+H18+F18</f>
        <v>530310.32999999996</v>
      </c>
      <c r="BB18" s="310">
        <f t="shared" ref="BB18:BB28" si="2">(D18-BA18)/D18</f>
        <v>0</v>
      </c>
      <c r="BC18" s="309">
        <f t="shared" ref="BC18:BC25" si="3">+D18-BA18</f>
        <v>0</v>
      </c>
      <c r="BD18" s="309"/>
      <c r="BE18" s="309"/>
    </row>
    <row r="19" spans="1:57" ht="12.75" x14ac:dyDescent="0.2">
      <c r="A19" s="305" t="s">
        <v>340</v>
      </c>
      <c r="B19" s="306" t="str">
        <f>VLOOKUP(A19,Orçamento!$A$15:$I$970,4,FALSE)&amp;" (S/ ADM. LOCAL)"</f>
        <v>SERVIÇOS INICIAIS (S/ ADM. LOCAL)</v>
      </c>
      <c r="C19" s="549">
        <f t="shared" si="0"/>
        <v>3.8336083505206821E-2</v>
      </c>
      <c r="D19" s="307">
        <f>VLOOKUP(A19,Orçamento!$A$15:$I$970,9,FALSE)-D46</f>
        <v>1214471.6299999994</v>
      </c>
      <c r="E19" s="308">
        <v>6</v>
      </c>
      <c r="F19" s="307">
        <f>ROUND(E19*$D19/100,2)</f>
        <v>72868.3</v>
      </c>
      <c r="G19" s="308">
        <v>6</v>
      </c>
      <c r="H19" s="307">
        <f>ROUND(G19*$D19/100,2)</f>
        <v>72868.3</v>
      </c>
      <c r="I19" s="308">
        <v>6</v>
      </c>
      <c r="J19" s="307">
        <f>ROUND(I19*$D19/100,2)</f>
        <v>72868.3</v>
      </c>
      <c r="K19" s="308">
        <v>6</v>
      </c>
      <c r="L19" s="307">
        <f>ROUND(K19*$D19/100,2)</f>
        <v>72868.3</v>
      </c>
      <c r="M19" s="308">
        <v>6</v>
      </c>
      <c r="N19" s="307">
        <f>ROUND(M19*$D19/100,2)</f>
        <v>72868.3</v>
      </c>
      <c r="O19" s="308">
        <v>6</v>
      </c>
      <c r="P19" s="307">
        <f>ROUND(O19*$D19/100,2)</f>
        <v>72868.3</v>
      </c>
      <c r="Q19" s="308">
        <v>6</v>
      </c>
      <c r="R19" s="307">
        <f t="shared" ref="R19:R28" si="4">ROUND(Q19*$D19/100,2)</f>
        <v>72868.3</v>
      </c>
      <c r="S19" s="308">
        <v>6</v>
      </c>
      <c r="T19" s="307">
        <f>ROUND(S19*$D19/100,2)</f>
        <v>72868.3</v>
      </c>
      <c r="U19" s="308">
        <v>6</v>
      </c>
      <c r="V19" s="307">
        <f>ROUND(U19*$D19/100,2)</f>
        <v>72868.3</v>
      </c>
      <c r="W19" s="308">
        <v>6</v>
      </c>
      <c r="X19" s="307">
        <f>ROUND(W19*$D19/100,2)</f>
        <v>72868.3</v>
      </c>
      <c r="Y19" s="308">
        <v>6</v>
      </c>
      <c r="Z19" s="307">
        <f>ROUND(Y19*$D19/100,2)</f>
        <v>72868.3</v>
      </c>
      <c r="AA19" s="308">
        <v>2.62</v>
      </c>
      <c r="AB19" s="307">
        <f>ROUND(AA19*$D19/100,2)</f>
        <v>31819.16</v>
      </c>
      <c r="AC19" s="308">
        <v>2.62</v>
      </c>
      <c r="AD19" s="307">
        <f>ROUND(AC19*$D19/100,2)</f>
        <v>31819.16</v>
      </c>
      <c r="AE19" s="308">
        <v>2.62</v>
      </c>
      <c r="AF19" s="307">
        <f>ROUND(AE19*$D19/100,2)</f>
        <v>31819.16</v>
      </c>
      <c r="AG19" s="308">
        <v>2.62</v>
      </c>
      <c r="AH19" s="307">
        <f>ROUND(AG19*$D19/100,2)</f>
        <v>31819.16</v>
      </c>
      <c r="AI19" s="308">
        <v>2.62</v>
      </c>
      <c r="AJ19" s="307">
        <f>ROUND(AI19*$D19/100,2)</f>
        <v>31819.16</v>
      </c>
      <c r="AK19" s="308">
        <v>2.62</v>
      </c>
      <c r="AL19" s="307">
        <f>ROUND(AK19*$D19/100,2)</f>
        <v>31819.16</v>
      </c>
      <c r="AM19" s="308">
        <v>2.62</v>
      </c>
      <c r="AN19" s="307">
        <f>ROUND(AM19*$D19/100,2)</f>
        <v>31819.16</v>
      </c>
      <c r="AO19" s="308">
        <v>2.62</v>
      </c>
      <c r="AP19" s="307">
        <f>ROUND(AO19*$D19/100,2)</f>
        <v>31819.16</v>
      </c>
      <c r="AQ19" s="308">
        <v>2.62</v>
      </c>
      <c r="AR19" s="307">
        <f>ROUND(AQ19*$D19/100,2)</f>
        <v>31819.16</v>
      </c>
      <c r="AS19" s="308">
        <v>2.62</v>
      </c>
      <c r="AT19" s="307">
        <f>ROUND(AS19*$D19/100,2)</f>
        <v>31819.16</v>
      </c>
      <c r="AU19" s="308">
        <v>2.62</v>
      </c>
      <c r="AV19" s="307">
        <f>ROUND(AU19*$D19/100,2)</f>
        <v>31819.16</v>
      </c>
      <c r="AW19" s="308">
        <v>2.62</v>
      </c>
      <c r="AX19" s="307">
        <f>ROUND(AW19*$D19/100,2)</f>
        <v>31819.16</v>
      </c>
      <c r="AY19" s="308">
        <f>AZ19/D19*100</f>
        <v>5.3178212157989835</v>
      </c>
      <c r="AZ19" s="307">
        <v>64583.429999999702</v>
      </c>
      <c r="BA19" s="307">
        <f>AZ19+AX19+AV19+AT19+AR19+AP19+AN19+AL19+AJ19+AH19+AF19+AD19+AB19+Z19+X19+V19+T19+R19+P19+N19+L19+J19+H19+F19</f>
        <v>1247964.6499999999</v>
      </c>
      <c r="BB19" s="310">
        <f t="shared" si="2"/>
        <v>-2.7578264631838705E-2</v>
      </c>
      <c r="BC19" s="309">
        <f t="shared" si="3"/>
        <v>-33493.020000000484</v>
      </c>
      <c r="BD19" s="309">
        <f>BC19/13</f>
        <v>-2576.3861538461911</v>
      </c>
      <c r="BE19" s="538">
        <f>BD19/D19*100</f>
        <v>-0.21214049716798999</v>
      </c>
    </row>
    <row r="20" spans="1:57" ht="12.75" x14ac:dyDescent="0.2">
      <c r="A20" s="305" t="s">
        <v>400</v>
      </c>
      <c r="B20" s="306" t="str">
        <f>VLOOKUP(A20,Orçamento!$A$15:$I$970,4,FALSE)</f>
        <v>INFRAESTRUTURA</v>
      </c>
      <c r="C20" s="549">
        <f t="shared" si="0"/>
        <v>7.0219014599927432E-3</v>
      </c>
      <c r="D20" s="307">
        <f>VLOOKUP(A20,Orçamento!$A$15:$I$970,9,FALSE)</f>
        <v>222451</v>
      </c>
      <c r="E20" s="308">
        <v>16.670000000000002</v>
      </c>
      <c r="F20" s="307">
        <f>ROUND(E20*$D20/100,2)</f>
        <v>37082.58</v>
      </c>
      <c r="G20" s="308">
        <v>16.66</v>
      </c>
      <c r="H20" s="307">
        <f>ROUND(G20*$D20/100,2)</f>
        <v>37060.339999999997</v>
      </c>
      <c r="I20" s="308">
        <v>16.66</v>
      </c>
      <c r="J20" s="307">
        <f t="shared" ref="J20:J36" si="5">ROUND(I20*$D20/100,2)</f>
        <v>37060.339999999997</v>
      </c>
      <c r="K20" s="308">
        <v>16.66</v>
      </c>
      <c r="L20" s="307">
        <f t="shared" si="1"/>
        <v>37060.339999999997</v>
      </c>
      <c r="M20" s="308">
        <v>16.66</v>
      </c>
      <c r="N20" s="307">
        <f t="shared" ref="N20:N36" si="6">ROUND(M20*$D20/100,2)</f>
        <v>37060.339999999997</v>
      </c>
      <c r="O20" s="308">
        <v>16.66</v>
      </c>
      <c r="P20" s="307">
        <f>D20-(F20+H20+J20+L20+N20)</f>
        <v>37127.060000000027</v>
      </c>
      <c r="Q20" s="308"/>
      <c r="R20" s="307">
        <f t="shared" si="4"/>
        <v>0</v>
      </c>
      <c r="S20" s="308"/>
      <c r="T20" s="307">
        <f>ROUND(S20*$D20/100,2)</f>
        <v>0</v>
      </c>
      <c r="U20" s="308"/>
      <c r="V20" s="307">
        <f t="shared" ref="V20:V25" si="7">ROUND(U20*$D20/100,2)</f>
        <v>0</v>
      </c>
      <c r="W20" s="308"/>
      <c r="X20" s="307">
        <f t="shared" ref="X20:X25" si="8">ROUND(W20*$D20/100,2)</f>
        <v>0</v>
      </c>
      <c r="Y20" s="308"/>
      <c r="Z20" s="307">
        <f>ROUND(Y20*$D20/100,2)</f>
        <v>0</v>
      </c>
      <c r="AA20" s="308"/>
      <c r="AB20" s="307">
        <f>ROUND(AA20*$D20/100,2)</f>
        <v>0</v>
      </c>
      <c r="AC20" s="308"/>
      <c r="AD20" s="307">
        <f>ROUND(AC20*$D20/100,2)</f>
        <v>0</v>
      </c>
      <c r="AE20" s="308"/>
      <c r="AF20" s="307">
        <f>ROUND(AE20*$D20/100,2)</f>
        <v>0</v>
      </c>
      <c r="AG20" s="308"/>
      <c r="AH20" s="307">
        <f>ROUND(AG20*$D20/100,2)</f>
        <v>0</v>
      </c>
      <c r="AI20" s="308"/>
      <c r="AJ20" s="307">
        <f>ROUND(AI20*$D20/100,2)</f>
        <v>0</v>
      </c>
      <c r="AK20" s="308"/>
      <c r="AL20" s="307">
        <f>ROUND(AK20*$D20/100,2)</f>
        <v>0</v>
      </c>
      <c r="AM20" s="308"/>
      <c r="AN20" s="307">
        <f>ROUND(AM20*$D20/100,2)</f>
        <v>0</v>
      </c>
      <c r="AO20" s="308"/>
      <c r="AP20" s="307">
        <f>ROUND(AO20*$D20/100,2)</f>
        <v>0</v>
      </c>
      <c r="AQ20" s="308"/>
      <c r="AR20" s="307">
        <f>ROUND(AQ20*$D20/100,2)</f>
        <v>0</v>
      </c>
      <c r="AS20" s="308"/>
      <c r="AT20" s="307">
        <f>ROUND(AS20*$D20/100,2)</f>
        <v>0</v>
      </c>
      <c r="AU20" s="308"/>
      <c r="AV20" s="307">
        <f>ROUND(AU20*$D20/100,2)</f>
        <v>0</v>
      </c>
      <c r="AW20" s="308"/>
      <c r="AX20" s="307">
        <f>ROUND(AW20*$D20/100,2)</f>
        <v>0</v>
      </c>
      <c r="AY20" s="308"/>
      <c r="AZ20" s="307">
        <f>ROUND(AY20*$D20/100,2)</f>
        <v>0</v>
      </c>
      <c r="BA20" s="307">
        <f t="shared" ref="BA20:BA42" si="9">AZ20+AX20+AV20+AT20+AR20+AP20+AN20+AL20+AJ20+AH20+AF20+AD20+AB20+Z20+X20+V20+T20+R20+P20+N20+L20+J20+H20+F20</f>
        <v>222451</v>
      </c>
      <c r="BB20" s="310">
        <f t="shared" si="2"/>
        <v>0</v>
      </c>
      <c r="BC20" s="309">
        <f t="shared" si="3"/>
        <v>0</v>
      </c>
      <c r="BD20" s="309"/>
      <c r="BE20" s="309"/>
    </row>
    <row r="21" spans="1:57" ht="12.75" x14ac:dyDescent="0.2">
      <c r="A21" s="305" t="s">
        <v>445</v>
      </c>
      <c r="B21" s="306" t="str">
        <f>VLOOKUP(A21,Orçamento!$A$15:$I$970,4,FALSE)</f>
        <v>SUPERESTRUTURA</v>
      </c>
      <c r="C21" s="549">
        <f t="shared" si="0"/>
        <v>0.18775248893800595</v>
      </c>
      <c r="D21" s="307">
        <f>VLOOKUP(A21,Orçamento!$A$15:$I$970,9,FALSE)</f>
        <v>5947922.9600000009</v>
      </c>
      <c r="E21" s="308">
        <v>13</v>
      </c>
      <c r="F21" s="307">
        <f>ROUND(E21*$D21/100,2)</f>
        <v>773229.98</v>
      </c>
      <c r="G21" s="308">
        <v>16.66</v>
      </c>
      <c r="H21" s="307">
        <f>ROUND(G21*$D21/100,2)</f>
        <v>990923.97</v>
      </c>
      <c r="I21" s="308">
        <v>16.66</v>
      </c>
      <c r="J21" s="307">
        <f>ROUND(I21*$D21/100,2)</f>
        <v>990923.97</v>
      </c>
      <c r="K21" s="308">
        <v>16.66</v>
      </c>
      <c r="L21" s="307">
        <f>ROUND(K21*$D21/100,2)</f>
        <v>990923.97</v>
      </c>
      <c r="M21" s="308">
        <v>16.66</v>
      </c>
      <c r="N21" s="307">
        <f>ROUND(M21*$D21/100,2)</f>
        <v>990923.97</v>
      </c>
      <c r="O21" s="308">
        <v>16.66</v>
      </c>
      <c r="P21" s="307">
        <f>D21-(F21+H21+J21+L21+N21)</f>
        <v>1210997.1000000015</v>
      </c>
      <c r="Q21" s="308"/>
      <c r="R21" s="307">
        <f t="shared" si="4"/>
        <v>0</v>
      </c>
      <c r="S21" s="308"/>
      <c r="T21" s="307"/>
      <c r="U21" s="308"/>
      <c r="V21" s="307">
        <f t="shared" si="7"/>
        <v>0</v>
      </c>
      <c r="W21" s="308"/>
      <c r="X21" s="307">
        <f t="shared" si="8"/>
        <v>0</v>
      </c>
      <c r="Y21" s="308"/>
      <c r="Z21" s="307">
        <f>ROUND(Y21*$D21/100,2)</f>
        <v>0</v>
      </c>
      <c r="AA21" s="308"/>
      <c r="AB21" s="307">
        <f>ROUND(AA21*$D21/100,2)</f>
        <v>0</v>
      </c>
      <c r="AC21" s="308"/>
      <c r="AD21" s="307">
        <f>ROUND(AC21*$D21/100,2)</f>
        <v>0</v>
      </c>
      <c r="AE21" s="308"/>
      <c r="AF21" s="307">
        <f>ROUND(AE21*$D21/100,2)</f>
        <v>0</v>
      </c>
      <c r="AG21" s="308"/>
      <c r="AH21" s="307">
        <f>ROUND(AG21*$D21/100,2)</f>
        <v>0</v>
      </c>
      <c r="AI21" s="308"/>
      <c r="AJ21" s="307">
        <f>ROUND(AI21*$D21/100,2)</f>
        <v>0</v>
      </c>
      <c r="AK21" s="307"/>
      <c r="AL21" s="307">
        <f>ROUND(AK21*$D21/100,2)</f>
        <v>0</v>
      </c>
      <c r="AM21" s="307"/>
      <c r="AN21" s="307">
        <f>ROUND(AM21*$D21/100,2)</f>
        <v>0</v>
      </c>
      <c r="AO21" s="307"/>
      <c r="AP21" s="307">
        <f>ROUND(AO21*$D21/100,2)</f>
        <v>0</v>
      </c>
      <c r="AQ21" s="307"/>
      <c r="AR21" s="307">
        <f>ROUND(AQ21*$D21/100,2)</f>
        <v>0</v>
      </c>
      <c r="AS21" s="307"/>
      <c r="AT21" s="307">
        <f>ROUND(AS21*$D21/100,2)</f>
        <v>0</v>
      </c>
      <c r="AU21" s="307"/>
      <c r="AV21" s="307">
        <f>ROUND(AU21*$D21/100,2)</f>
        <v>0</v>
      </c>
      <c r="AW21" s="307"/>
      <c r="AX21" s="307">
        <f>ROUND(AW21*$D21/100,2)</f>
        <v>0</v>
      </c>
      <c r="AY21" s="307"/>
      <c r="AZ21" s="307">
        <f>ROUND(AY21*$D21/100,2)</f>
        <v>0</v>
      </c>
      <c r="BA21" s="307">
        <f t="shared" si="9"/>
        <v>5947922.9600000009</v>
      </c>
      <c r="BB21" s="310">
        <f t="shared" si="2"/>
        <v>0</v>
      </c>
      <c r="BC21" s="309">
        <f t="shared" si="3"/>
        <v>0</v>
      </c>
      <c r="BD21" s="309"/>
      <c r="BE21" s="309"/>
    </row>
    <row r="22" spans="1:57" ht="12.75" x14ac:dyDescent="0.2">
      <c r="A22" s="305" t="s">
        <v>577</v>
      </c>
      <c r="B22" s="306" t="str">
        <f>VLOOKUP(A22,Orçamento!$A$15:$I$970,4,FALSE)</f>
        <v>PAREDES E PAINÉIS</v>
      </c>
      <c r="C22" s="549">
        <f t="shared" si="0"/>
        <v>4.4299146329385926E-2</v>
      </c>
      <c r="D22" s="307">
        <f>VLOOKUP(A22,Orçamento!$A$15:$I$970,9,FALSE)</f>
        <v>1403379.05</v>
      </c>
      <c r="E22" s="308"/>
      <c r="F22" s="307">
        <f t="shared" ref="F22:H36" si="10">ROUND(E22*$D22/100,2)</f>
        <v>0</v>
      </c>
      <c r="G22" s="308"/>
      <c r="H22" s="307">
        <f t="shared" si="10"/>
        <v>0</v>
      </c>
      <c r="I22" s="308"/>
      <c r="J22" s="307">
        <f t="shared" si="5"/>
        <v>0</v>
      </c>
      <c r="K22" s="308">
        <v>16.66</v>
      </c>
      <c r="L22" s="307">
        <f t="shared" si="1"/>
        <v>233802.95</v>
      </c>
      <c r="M22" s="308">
        <v>16.66</v>
      </c>
      <c r="N22" s="307">
        <f t="shared" si="6"/>
        <v>233802.95</v>
      </c>
      <c r="O22" s="308">
        <v>16.66</v>
      </c>
      <c r="P22" s="307">
        <f t="shared" ref="P22:P40" si="11">ROUND(O22*$D22/100,2)</f>
        <v>233802.95</v>
      </c>
      <c r="Q22" s="308">
        <v>16.66</v>
      </c>
      <c r="R22" s="307">
        <f t="shared" si="4"/>
        <v>233802.95</v>
      </c>
      <c r="S22" s="308">
        <v>16.66</v>
      </c>
      <c r="T22" s="307">
        <f t="shared" ref="T22:T28" si="12">ROUND(S22*$D22/100,2)</f>
        <v>233802.95</v>
      </c>
      <c r="U22" s="308">
        <f>V22/D22*100</f>
        <v>16.699999903803612</v>
      </c>
      <c r="V22" s="307">
        <f>D22-(L22+N22+P22+R22+T22)</f>
        <v>234364.30000000005</v>
      </c>
      <c r="W22" s="308"/>
      <c r="X22" s="307"/>
      <c r="Y22" s="308"/>
      <c r="Z22" s="307">
        <f>ROUND(Y22*$D22/100,2)</f>
        <v>0</v>
      </c>
      <c r="AA22" s="308"/>
      <c r="AB22" s="307">
        <f>ROUND(AA22*$D22/100,2)</f>
        <v>0</v>
      </c>
      <c r="AC22" s="308"/>
      <c r="AD22" s="307">
        <f>ROUND(AC22*$D22/100,2)</f>
        <v>0</v>
      </c>
      <c r="AE22" s="308"/>
      <c r="AF22" s="307">
        <f>ROUND(AE22*$D22/100,2)</f>
        <v>0</v>
      </c>
      <c r="AG22" s="308"/>
      <c r="AH22" s="307">
        <f>ROUND(AG22*$D22/100,2)</f>
        <v>0</v>
      </c>
      <c r="AI22" s="308"/>
      <c r="AJ22" s="307">
        <f>ROUND(AI22*$D22/100,2)</f>
        <v>0</v>
      </c>
      <c r="AK22" s="308"/>
      <c r="AL22" s="307">
        <f>ROUND(AK22*$D22/100,2)</f>
        <v>0</v>
      </c>
      <c r="AM22" s="308"/>
      <c r="AN22" s="307">
        <f>ROUND(AM22*$D22/100,2)</f>
        <v>0</v>
      </c>
      <c r="AO22" s="308"/>
      <c r="AP22" s="307">
        <f>ROUND(AO22*$D22/100,2)</f>
        <v>0</v>
      </c>
      <c r="AQ22" s="308"/>
      <c r="AR22" s="307">
        <f>ROUND(AQ22*$D22/100,2)</f>
        <v>0</v>
      </c>
      <c r="AS22" s="308"/>
      <c r="AT22" s="307">
        <f>ROUND(AS22*$D22/100,2)</f>
        <v>0</v>
      </c>
      <c r="AU22" s="308"/>
      <c r="AV22" s="307">
        <f>ROUND(AU22*$D22/100,2)</f>
        <v>0</v>
      </c>
      <c r="AW22" s="308"/>
      <c r="AX22" s="307">
        <f>ROUND(AW22*$D22/100,2)</f>
        <v>0</v>
      </c>
      <c r="AY22" s="308"/>
      <c r="AZ22" s="307">
        <f>ROUND(AY22*$D22/100,2)</f>
        <v>0</v>
      </c>
      <c r="BA22" s="307">
        <f t="shared" si="9"/>
        <v>1403379.05</v>
      </c>
      <c r="BB22" s="310">
        <f t="shared" si="2"/>
        <v>0</v>
      </c>
      <c r="BC22" s="309">
        <f t="shared" si="3"/>
        <v>0</v>
      </c>
      <c r="BD22" s="309"/>
      <c r="BE22" s="309"/>
    </row>
    <row r="23" spans="1:57" ht="12.75" x14ac:dyDescent="0.2">
      <c r="A23" s="305" t="s">
        <v>588</v>
      </c>
      <c r="B23" s="306" t="str">
        <f>VLOOKUP(A23,Orçamento!$A$15:$I$970,4,FALSE)</f>
        <v>COBERTURA</v>
      </c>
      <c r="C23" s="549">
        <f t="shared" si="0"/>
        <v>8.3663636263945032E-2</v>
      </c>
      <c r="D23" s="307">
        <f>VLOOKUP(A23,Orçamento!$A$15:$I$970,9,FALSE)</f>
        <v>2650430.1800000011</v>
      </c>
      <c r="E23" s="308"/>
      <c r="F23" s="307">
        <f t="shared" si="10"/>
        <v>0</v>
      </c>
      <c r="G23" s="308"/>
      <c r="H23" s="307">
        <f t="shared" si="10"/>
        <v>0</v>
      </c>
      <c r="I23" s="308"/>
      <c r="J23" s="307">
        <f t="shared" si="5"/>
        <v>0</v>
      </c>
      <c r="K23" s="308"/>
      <c r="L23" s="307">
        <f t="shared" si="1"/>
        <v>0</v>
      </c>
      <c r="M23" s="308"/>
      <c r="N23" s="307">
        <f t="shared" si="6"/>
        <v>0</v>
      </c>
      <c r="O23" s="308"/>
      <c r="P23" s="307">
        <f t="shared" si="11"/>
        <v>0</v>
      </c>
      <c r="Q23" s="308">
        <v>25</v>
      </c>
      <c r="R23" s="307">
        <f t="shared" si="4"/>
        <v>662607.55000000005</v>
      </c>
      <c r="S23" s="308">
        <v>25</v>
      </c>
      <c r="T23" s="307">
        <f t="shared" si="12"/>
        <v>662607.55000000005</v>
      </c>
      <c r="U23" s="308">
        <v>25</v>
      </c>
      <c r="V23" s="307">
        <f t="shared" si="7"/>
        <v>662607.55000000005</v>
      </c>
      <c r="W23" s="308">
        <v>25</v>
      </c>
      <c r="X23" s="307">
        <f>D23-R23-T23-V23</f>
        <v>662607.53000000096</v>
      </c>
      <c r="Y23" s="308"/>
      <c r="Z23" s="307">
        <f>ROUND(Y23*$D23/100,2)</f>
        <v>0</v>
      </c>
      <c r="AA23" s="308"/>
      <c r="AB23" s="307">
        <f>ROUND(AA23*$D23/100,2)</f>
        <v>0</v>
      </c>
      <c r="AC23" s="308"/>
      <c r="AD23" s="307">
        <f>ROUND(AC23*$D23/100,2)</f>
        <v>0</v>
      </c>
      <c r="AE23" s="307"/>
      <c r="AF23" s="307"/>
      <c r="AG23" s="308"/>
      <c r="AH23" s="307">
        <f>ROUND(AG23*$D23/100,2)</f>
        <v>0</v>
      </c>
      <c r="AI23" s="308"/>
      <c r="AJ23" s="307">
        <f>ROUND(AI23*$D23/100,2)</f>
        <v>0</v>
      </c>
      <c r="AK23" s="307"/>
      <c r="AL23" s="307">
        <f>ROUND(AK23*$D23/100,2)</f>
        <v>0</v>
      </c>
      <c r="AM23" s="307"/>
      <c r="AN23" s="307">
        <f>ROUND(AM23*$D23/100,2)</f>
        <v>0</v>
      </c>
      <c r="AO23" s="307"/>
      <c r="AP23" s="307">
        <f>ROUND(AO23*$D23/100,2)</f>
        <v>0</v>
      </c>
      <c r="AQ23" s="307"/>
      <c r="AR23" s="307">
        <f>ROUND(AQ23*$D23/100,2)</f>
        <v>0</v>
      </c>
      <c r="AS23" s="307"/>
      <c r="AT23" s="307">
        <f>ROUND(AS23*$D23/100,2)</f>
        <v>0</v>
      </c>
      <c r="AU23" s="307"/>
      <c r="AV23" s="307">
        <f>ROUND(AU23*$D23/100,2)</f>
        <v>0</v>
      </c>
      <c r="AW23" s="307"/>
      <c r="AX23" s="307">
        <f>ROUND(AW23*$D23/100,2)</f>
        <v>0</v>
      </c>
      <c r="AY23" s="307"/>
      <c r="AZ23" s="307">
        <f>ROUND(AY23*$D23/100,2)</f>
        <v>0</v>
      </c>
      <c r="BA23" s="307">
        <f t="shared" si="9"/>
        <v>2650430.1800000011</v>
      </c>
      <c r="BB23" s="310">
        <f t="shared" si="2"/>
        <v>0</v>
      </c>
      <c r="BC23" s="309">
        <f t="shared" si="3"/>
        <v>0</v>
      </c>
      <c r="BD23" s="309"/>
      <c r="BE23" s="309"/>
    </row>
    <row r="24" spans="1:57" ht="12.75" x14ac:dyDescent="0.2">
      <c r="A24" s="305" t="s">
        <v>640</v>
      </c>
      <c r="B24" s="306" t="str">
        <f>VLOOKUP(A24,Orçamento!$A$15:$I$970,4,FALSE)</f>
        <v>IMPERMEABILIZAÇÃO</v>
      </c>
      <c r="C24" s="549">
        <f t="shared" si="0"/>
        <v>6.5568443900411114E-3</v>
      </c>
      <c r="D24" s="307">
        <f>VLOOKUP(A24,Orçamento!$A$15:$I$970,9,FALSE)</f>
        <v>207718.18</v>
      </c>
      <c r="E24" s="308"/>
      <c r="F24" s="307">
        <f t="shared" si="10"/>
        <v>0</v>
      </c>
      <c r="G24" s="308"/>
      <c r="H24" s="307">
        <f t="shared" si="10"/>
        <v>0</v>
      </c>
      <c r="I24" s="308"/>
      <c r="J24" s="307">
        <f t="shared" si="5"/>
        <v>0</v>
      </c>
      <c r="K24" s="308"/>
      <c r="L24" s="307">
        <f t="shared" si="1"/>
        <v>0</v>
      </c>
      <c r="M24" s="308"/>
      <c r="N24" s="307">
        <f t="shared" si="6"/>
        <v>0</v>
      </c>
      <c r="O24" s="308"/>
      <c r="P24" s="307">
        <f t="shared" si="11"/>
        <v>0</v>
      </c>
      <c r="Q24" s="308">
        <v>33.340000000000003</v>
      </c>
      <c r="R24" s="307">
        <f t="shared" si="4"/>
        <v>69253.240000000005</v>
      </c>
      <c r="S24" s="308">
        <v>33.33</v>
      </c>
      <c r="T24" s="307">
        <f t="shared" si="12"/>
        <v>69232.47</v>
      </c>
      <c r="U24" s="308">
        <v>33.33</v>
      </c>
      <c r="V24" s="307">
        <f t="shared" si="7"/>
        <v>69232.47</v>
      </c>
      <c r="W24" s="307"/>
      <c r="X24" s="307">
        <f t="shared" si="8"/>
        <v>0</v>
      </c>
      <c r="Y24" s="307"/>
      <c r="Z24" s="307"/>
      <c r="AA24" s="307"/>
      <c r="AB24" s="307"/>
      <c r="AC24" s="307"/>
      <c r="AD24" s="307"/>
      <c r="AE24" s="307"/>
      <c r="AF24" s="307"/>
      <c r="AG24" s="307"/>
      <c r="AH24" s="307"/>
      <c r="AI24" s="307"/>
      <c r="AJ24" s="307"/>
      <c r="AK24" s="307"/>
      <c r="AL24" s="307"/>
      <c r="AM24" s="307"/>
      <c r="AN24" s="307"/>
      <c r="AO24" s="307"/>
      <c r="AP24" s="307"/>
      <c r="AQ24" s="307"/>
      <c r="AR24" s="307"/>
      <c r="AS24" s="307"/>
      <c r="AT24" s="307"/>
      <c r="AU24" s="307"/>
      <c r="AV24" s="307"/>
      <c r="AW24" s="307"/>
      <c r="AX24" s="307"/>
      <c r="AY24" s="307"/>
      <c r="AZ24" s="307"/>
      <c r="BA24" s="307">
        <f t="shared" si="9"/>
        <v>207718.18</v>
      </c>
      <c r="BB24" s="310">
        <f t="shared" si="2"/>
        <v>0</v>
      </c>
      <c r="BC24" s="309">
        <f t="shared" si="3"/>
        <v>0</v>
      </c>
      <c r="BD24" s="309">
        <f>BC24/20</f>
        <v>0</v>
      </c>
      <c r="BE24" s="309"/>
    </row>
    <row r="25" spans="1:57" ht="12.75" x14ac:dyDescent="0.2">
      <c r="A25" s="305" t="s">
        <v>644</v>
      </c>
      <c r="B25" s="306" t="str">
        <f>VLOOKUP(A25,Orçamento!$A$15:$I$970,4,FALSE)</f>
        <v>ESQUADRIAS</v>
      </c>
      <c r="C25" s="549">
        <f t="shared" si="0"/>
        <v>6.8298372986185629E-2</v>
      </c>
      <c r="D25" s="307">
        <f>VLOOKUP(A25,Orçamento!$A$15:$I$970,9,FALSE)</f>
        <v>2163664.85</v>
      </c>
      <c r="E25" s="308"/>
      <c r="F25" s="307">
        <f t="shared" si="10"/>
        <v>0</v>
      </c>
      <c r="G25" s="308"/>
      <c r="H25" s="307">
        <f t="shared" si="10"/>
        <v>0</v>
      </c>
      <c r="I25" s="308"/>
      <c r="J25" s="307">
        <f t="shared" si="5"/>
        <v>0</v>
      </c>
      <c r="K25" s="308"/>
      <c r="L25" s="307">
        <f t="shared" si="1"/>
        <v>0</v>
      </c>
      <c r="M25" s="308"/>
      <c r="N25" s="307">
        <f t="shared" si="6"/>
        <v>0</v>
      </c>
      <c r="O25" s="308"/>
      <c r="P25" s="307">
        <f t="shared" si="11"/>
        <v>0</v>
      </c>
      <c r="Q25" s="308">
        <v>16.66</v>
      </c>
      <c r="R25" s="307">
        <f t="shared" si="4"/>
        <v>360466.56</v>
      </c>
      <c r="S25" s="308">
        <v>16.66</v>
      </c>
      <c r="T25" s="307">
        <f t="shared" si="12"/>
        <v>360466.56</v>
      </c>
      <c r="U25" s="308">
        <v>16.66</v>
      </c>
      <c r="V25" s="307">
        <f t="shared" si="7"/>
        <v>360466.56</v>
      </c>
      <c r="W25" s="308">
        <v>16.66</v>
      </c>
      <c r="X25" s="307">
        <f t="shared" si="8"/>
        <v>360466.56</v>
      </c>
      <c r="Y25" s="308">
        <v>16.66</v>
      </c>
      <c r="Z25" s="307">
        <f>ROUND(Y25*$D25/100,2)</f>
        <v>360466.56</v>
      </c>
      <c r="AA25" s="308">
        <f>100-(Y25+W25+U25+S25+Q25)</f>
        <v>16.700000000000003</v>
      </c>
      <c r="AB25" s="307">
        <v>361679.93000000017</v>
      </c>
      <c r="AC25" s="308"/>
      <c r="AD25" s="307">
        <f>ROUND(AC25*$D25/100,2)</f>
        <v>0</v>
      </c>
      <c r="AE25" s="308"/>
      <c r="AF25" s="307">
        <f t="shared" ref="AF25:AF36" si="13">ROUND(AE25*$D25/100,2)</f>
        <v>0</v>
      </c>
      <c r="AG25" s="308"/>
      <c r="AH25" s="307">
        <f>ROUND(AG25*$D25/100,2)</f>
        <v>0</v>
      </c>
      <c r="AI25" s="308"/>
      <c r="AJ25" s="307">
        <f>ROUND(AI25*$D25/100,2)</f>
        <v>0</v>
      </c>
      <c r="AK25" s="307"/>
      <c r="AL25" s="307">
        <f>ROUND(AK25*$D25/100,2)</f>
        <v>0</v>
      </c>
      <c r="AM25" s="307"/>
      <c r="AN25" s="307">
        <f>ROUND(AM25*$D25/100,2)</f>
        <v>0</v>
      </c>
      <c r="AO25" s="307"/>
      <c r="AP25" s="307">
        <f>ROUND(AO25*$D25/100,2)</f>
        <v>0</v>
      </c>
      <c r="AQ25" s="307"/>
      <c r="AR25" s="307">
        <f t="shared" ref="AR25:AR36" si="14">ROUND(AQ25*$D25/100,2)</f>
        <v>0</v>
      </c>
      <c r="AS25" s="307"/>
      <c r="AT25" s="307">
        <f>ROUND(AS25*$D25/100,2)</f>
        <v>0</v>
      </c>
      <c r="AU25" s="307"/>
      <c r="AV25" s="307">
        <f>ROUND(AU25*$D25/100,2)</f>
        <v>0</v>
      </c>
      <c r="AW25" s="307"/>
      <c r="AX25" s="307">
        <f>ROUND(AW25*$D25/100,2)</f>
        <v>0</v>
      </c>
      <c r="AY25" s="307"/>
      <c r="AZ25" s="307">
        <f>ROUND(AY25*$D25/100,2)</f>
        <v>0</v>
      </c>
      <c r="BA25" s="307">
        <f t="shared" si="9"/>
        <v>2164012.7300000004</v>
      </c>
      <c r="BB25" s="310">
        <f t="shared" si="2"/>
        <v>-1.6078275708936802E-4</v>
      </c>
      <c r="BC25" s="309">
        <f t="shared" si="3"/>
        <v>-347.8800000003539</v>
      </c>
      <c r="BD25" s="309"/>
      <c r="BE25" s="309"/>
    </row>
    <row r="26" spans="1:57" ht="12.75" x14ac:dyDescent="0.2">
      <c r="A26" s="305" t="s">
        <v>790</v>
      </c>
      <c r="B26" s="306" t="str">
        <f>VLOOKUP(A26,Orçamento!$A$15:$I$970,4,FALSE)</f>
        <v>INSTALAÇÕES ELÉTRICAS</v>
      </c>
      <c r="C26" s="549">
        <f t="shared" si="0"/>
        <v>9.1417283171270736E-2</v>
      </c>
      <c r="D26" s="307">
        <f>VLOOKUP(A26,Orçamento!$A$15:$I$970,9,FALSE)</f>
        <v>2896062.5799999996</v>
      </c>
      <c r="E26" s="308"/>
      <c r="F26" s="307">
        <f t="shared" si="10"/>
        <v>0</v>
      </c>
      <c r="G26" s="308"/>
      <c r="H26" s="307">
        <f t="shared" si="10"/>
        <v>0</v>
      </c>
      <c r="I26" s="308"/>
      <c r="J26" s="307">
        <f t="shared" si="5"/>
        <v>0</v>
      </c>
      <c r="K26" s="308"/>
      <c r="L26" s="307">
        <f t="shared" si="1"/>
        <v>0</v>
      </c>
      <c r="M26" s="308"/>
      <c r="N26" s="307">
        <f t="shared" si="6"/>
        <v>0</v>
      </c>
      <c r="O26" s="308"/>
      <c r="P26" s="307">
        <f t="shared" si="11"/>
        <v>0</v>
      </c>
      <c r="Q26" s="307">
        <f>100/18</f>
        <v>5.5555555555555554</v>
      </c>
      <c r="R26" s="307">
        <f t="shared" si="4"/>
        <v>160892.37</v>
      </c>
      <c r="S26" s="307">
        <f>100/18</f>
        <v>5.5555555555555554</v>
      </c>
      <c r="T26" s="307">
        <f t="shared" si="12"/>
        <v>160892.37</v>
      </c>
      <c r="U26" s="307">
        <f>100/18</f>
        <v>5.5555555555555554</v>
      </c>
      <c r="V26" s="307">
        <f>ROUND(U26*$D26/100,2)</f>
        <v>160892.37</v>
      </c>
      <c r="W26" s="307">
        <f>100/18</f>
        <v>5.5555555555555554</v>
      </c>
      <c r="X26" s="307">
        <f>ROUND(W26*$D26/100,2)</f>
        <v>160892.37</v>
      </c>
      <c r="Y26" s="307">
        <f>100/18</f>
        <v>5.5555555555555554</v>
      </c>
      <c r="Z26" s="307">
        <f>ROUND(Y26*$D26/100,2)</f>
        <v>160892.37</v>
      </c>
      <c r="AA26" s="307">
        <f>100/18</f>
        <v>5.5555555555555554</v>
      </c>
      <c r="AB26" s="307">
        <f>ROUND(AA26*$D26/100,2)</f>
        <v>160892.37</v>
      </c>
      <c r="AC26" s="307">
        <f>100/18</f>
        <v>5.5555555555555554</v>
      </c>
      <c r="AD26" s="307">
        <f>ROUND(AC26*$D26/100,2)</f>
        <v>160892.37</v>
      </c>
      <c r="AE26" s="307">
        <f>100/18</f>
        <v>5.5555555555555554</v>
      </c>
      <c r="AF26" s="307">
        <f t="shared" si="13"/>
        <v>160892.37</v>
      </c>
      <c r="AG26" s="307">
        <f>100/18</f>
        <v>5.5555555555555554</v>
      </c>
      <c r="AH26" s="307">
        <f>ROUND(AG26*$D26/100,2)</f>
        <v>160892.37</v>
      </c>
      <c r="AI26" s="307">
        <f>100/18</f>
        <v>5.5555555555555554</v>
      </c>
      <c r="AJ26" s="307">
        <f>ROUND(AI26*$D26/100,2)</f>
        <v>160892.37</v>
      </c>
      <c r="AK26" s="307">
        <f>100/18</f>
        <v>5.5555555555555554</v>
      </c>
      <c r="AL26" s="307">
        <f>ROUND(AK26*$D26/100,2)</f>
        <v>160892.37</v>
      </c>
      <c r="AM26" s="307">
        <f>100/18</f>
        <v>5.5555555555555554</v>
      </c>
      <c r="AN26" s="307">
        <f>ROUND(AM26*$D26/100,2)</f>
        <v>160892.37</v>
      </c>
      <c r="AO26" s="307">
        <f>100/18</f>
        <v>5.5555555555555554</v>
      </c>
      <c r="AP26" s="307">
        <f>ROUND(AO26*$D26/100,2)</f>
        <v>160892.37</v>
      </c>
      <c r="AQ26" s="307">
        <f>100/18</f>
        <v>5.5555555555555554</v>
      </c>
      <c r="AR26" s="307">
        <f t="shared" si="14"/>
        <v>160892.37</v>
      </c>
      <c r="AS26" s="307">
        <f>100/18</f>
        <v>5.5555555555555554</v>
      </c>
      <c r="AT26" s="307">
        <f>ROUND(AS26*$D26/100,2)</f>
        <v>160892.37</v>
      </c>
      <c r="AU26" s="307">
        <f>100/18</f>
        <v>5.5555555555555554</v>
      </c>
      <c r="AV26" s="307">
        <f>ROUND(AU26*$D26/100,2)</f>
        <v>160892.37</v>
      </c>
      <c r="AW26" s="307">
        <f>100/18</f>
        <v>5.5555555555555554</v>
      </c>
      <c r="AX26" s="307">
        <f>ROUND(AW26*$D26/100,2)</f>
        <v>160892.37</v>
      </c>
      <c r="AY26" s="307">
        <f>AZ26/D26*100</f>
        <v>5.6787823279702705</v>
      </c>
      <c r="AZ26" s="307">
        <v>164461.08999999985</v>
      </c>
      <c r="BA26" s="307">
        <f t="shared" si="9"/>
        <v>2899631.3800000008</v>
      </c>
      <c r="BB26" s="310">
        <f t="shared" si="2"/>
        <v>-1.2322938132093857E-3</v>
      </c>
      <c r="BC26" s="309">
        <f>D26-BA26</f>
        <v>-3568.8000000012107</v>
      </c>
      <c r="BD26" s="309"/>
      <c r="BE26" s="309"/>
    </row>
    <row r="27" spans="1:57" ht="12.75" x14ac:dyDescent="0.2">
      <c r="A27" s="305" t="s">
        <v>1077</v>
      </c>
      <c r="B27" s="306" t="str">
        <f>VLOOKUP(A27,Orçamento!$A$15:$I$970,4,FALSE)</f>
        <v>INSTALAÇÕES HIDRÁULICAS</v>
      </c>
      <c r="C27" s="549">
        <f t="shared" si="0"/>
        <v>1.8187619363502102E-2</v>
      </c>
      <c r="D27" s="307">
        <f>VLOOKUP(A27,Orçamento!$A$15:$I$970,9,FALSE)</f>
        <v>576176.42999999993</v>
      </c>
      <c r="E27" s="308"/>
      <c r="F27" s="307">
        <f t="shared" si="10"/>
        <v>0</v>
      </c>
      <c r="G27" s="308"/>
      <c r="H27" s="307">
        <f t="shared" si="10"/>
        <v>0</v>
      </c>
      <c r="I27" s="308"/>
      <c r="J27" s="307">
        <f t="shared" si="5"/>
        <v>0</v>
      </c>
      <c r="K27" s="308"/>
      <c r="L27" s="307">
        <f t="shared" si="1"/>
        <v>0</v>
      </c>
      <c r="M27" s="308"/>
      <c r="N27" s="307">
        <f t="shared" si="6"/>
        <v>0</v>
      </c>
      <c r="O27" s="308"/>
      <c r="P27" s="307">
        <f t="shared" si="11"/>
        <v>0</v>
      </c>
      <c r="Q27" s="307">
        <f>100/18</f>
        <v>5.5555555555555554</v>
      </c>
      <c r="R27" s="307">
        <f t="shared" si="4"/>
        <v>32009.8</v>
      </c>
      <c r="S27" s="307">
        <f>100/18</f>
        <v>5.5555555555555554</v>
      </c>
      <c r="T27" s="307">
        <f t="shared" si="12"/>
        <v>32009.8</v>
      </c>
      <c r="U27" s="307">
        <f>100/18</f>
        <v>5.5555555555555554</v>
      </c>
      <c r="V27" s="307">
        <f>ROUND(U27*$D27/100,2)</f>
        <v>32009.8</v>
      </c>
      <c r="W27" s="307">
        <f>100/18</f>
        <v>5.5555555555555554</v>
      </c>
      <c r="X27" s="307">
        <f>ROUND(W27*$D27/100,2)</f>
        <v>32009.8</v>
      </c>
      <c r="Y27" s="307">
        <f>100/18</f>
        <v>5.5555555555555554</v>
      </c>
      <c r="Z27" s="307">
        <f>ROUND(Y27*$D27/100,2)</f>
        <v>32009.8</v>
      </c>
      <c r="AA27" s="307">
        <f>100/18</f>
        <v>5.5555555555555554</v>
      </c>
      <c r="AB27" s="307">
        <f>ROUND(AA27*$D27/100,2)</f>
        <v>32009.8</v>
      </c>
      <c r="AC27" s="307">
        <f>100/18</f>
        <v>5.5555555555555554</v>
      </c>
      <c r="AD27" s="307">
        <f>ROUND(AC27*$D27/100,2)</f>
        <v>32009.8</v>
      </c>
      <c r="AE27" s="307">
        <f>100/18</f>
        <v>5.5555555555555554</v>
      </c>
      <c r="AF27" s="307">
        <f t="shared" si="13"/>
        <v>32009.8</v>
      </c>
      <c r="AG27" s="307">
        <f>100/18</f>
        <v>5.5555555555555554</v>
      </c>
      <c r="AH27" s="307">
        <f>ROUND(AG27*$D27/100,2)</f>
        <v>32009.8</v>
      </c>
      <c r="AI27" s="307">
        <f>100/18</f>
        <v>5.5555555555555554</v>
      </c>
      <c r="AJ27" s="307">
        <f>ROUND(AI27*$D27/100,2)</f>
        <v>32009.8</v>
      </c>
      <c r="AK27" s="307">
        <f>100/18</f>
        <v>5.5555555555555554</v>
      </c>
      <c r="AL27" s="307">
        <f>ROUND(AK27*$D27/100,2)</f>
        <v>32009.8</v>
      </c>
      <c r="AM27" s="307">
        <f>100/18</f>
        <v>5.5555555555555554</v>
      </c>
      <c r="AN27" s="307">
        <f>ROUND(AM27*$D27/100,2)</f>
        <v>32009.8</v>
      </c>
      <c r="AO27" s="307">
        <f>100/18</f>
        <v>5.5555555555555554</v>
      </c>
      <c r="AP27" s="307">
        <f>ROUND(AO27*$D27/100,2)</f>
        <v>32009.8</v>
      </c>
      <c r="AQ27" s="307">
        <f>100/18</f>
        <v>5.5555555555555554</v>
      </c>
      <c r="AR27" s="307">
        <f t="shared" si="14"/>
        <v>32009.8</v>
      </c>
      <c r="AS27" s="307">
        <f>100/18</f>
        <v>5.5555555555555554</v>
      </c>
      <c r="AT27" s="307">
        <f>ROUND(AS27*$D27/100,2)</f>
        <v>32009.8</v>
      </c>
      <c r="AU27" s="307">
        <f>100/18</f>
        <v>5.5555555555555554</v>
      </c>
      <c r="AV27" s="307">
        <f>ROUND(AU27*$D27/100,2)</f>
        <v>32009.8</v>
      </c>
      <c r="AW27" s="307">
        <f>100/18</f>
        <v>5.5555555555555554</v>
      </c>
      <c r="AX27" s="307">
        <f>ROUND(AW27*$D27/100,2)</f>
        <v>32009.8</v>
      </c>
      <c r="AY27" s="307">
        <f>AZ27/D27*100</f>
        <v>5.5555604730308179</v>
      </c>
      <c r="AZ27" s="307">
        <v>32009.830000000075</v>
      </c>
      <c r="BA27" s="307">
        <f t="shared" si="9"/>
        <v>576176.43000000005</v>
      </c>
      <c r="BB27" s="310">
        <f t="shared" si="2"/>
        <v>-2.0204804598989728E-16</v>
      </c>
      <c r="BC27" s="309">
        <f t="shared" ref="BC27:BC40" si="15">+D27-BA27</f>
        <v>0</v>
      </c>
      <c r="BD27" s="309"/>
      <c r="BE27" s="309"/>
    </row>
    <row r="28" spans="1:57" ht="12.75" x14ac:dyDescent="0.2">
      <c r="A28" s="305" t="s">
        <v>1443</v>
      </c>
      <c r="B28" s="306" t="str">
        <f>VLOOKUP(A28,Orçamento!$A$15:$I$970,4,FALSE)</f>
        <v>INSTALAÇÕES SANITÁRIAS</v>
      </c>
      <c r="C28" s="549">
        <f t="shared" si="0"/>
        <v>1.0480432960574574E-2</v>
      </c>
      <c r="D28" s="307">
        <f>VLOOKUP(A28,Orçamento!$A$15:$I$970,9,FALSE)</f>
        <v>332015.87999999989</v>
      </c>
      <c r="E28" s="308"/>
      <c r="F28" s="307">
        <f t="shared" si="10"/>
        <v>0</v>
      </c>
      <c r="G28" s="308">
        <v>0</v>
      </c>
      <c r="H28" s="307">
        <f t="shared" si="10"/>
        <v>0</v>
      </c>
      <c r="I28" s="308"/>
      <c r="J28" s="307">
        <f t="shared" si="5"/>
        <v>0</v>
      </c>
      <c r="K28" s="308"/>
      <c r="L28" s="307">
        <f t="shared" si="1"/>
        <v>0</v>
      </c>
      <c r="M28" s="308">
        <v>0</v>
      </c>
      <c r="N28" s="307">
        <f t="shared" si="6"/>
        <v>0</v>
      </c>
      <c r="O28" s="308"/>
      <c r="P28" s="307">
        <f t="shared" si="11"/>
        <v>0</v>
      </c>
      <c r="Q28" s="307">
        <f>100/18</f>
        <v>5.5555555555555554</v>
      </c>
      <c r="R28" s="307">
        <f t="shared" si="4"/>
        <v>18445.330000000002</v>
      </c>
      <c r="S28" s="307">
        <f>100/18</f>
        <v>5.5555555555555554</v>
      </c>
      <c r="T28" s="307">
        <f t="shared" si="12"/>
        <v>18445.330000000002</v>
      </c>
      <c r="U28" s="307">
        <f>100/18</f>
        <v>5.5555555555555554</v>
      </c>
      <c r="V28" s="307">
        <f>ROUND(U28*$D28/100,2)</f>
        <v>18445.330000000002</v>
      </c>
      <c r="W28" s="307">
        <f>100/18</f>
        <v>5.5555555555555554</v>
      </c>
      <c r="X28" s="307">
        <f>ROUND(W28*$D28/100,2)</f>
        <v>18445.330000000002</v>
      </c>
      <c r="Y28" s="307">
        <f>100/18</f>
        <v>5.5555555555555554</v>
      </c>
      <c r="Z28" s="307">
        <f>ROUND(Y28*$D28/100,2)</f>
        <v>18445.330000000002</v>
      </c>
      <c r="AA28" s="307">
        <f>100/18</f>
        <v>5.5555555555555554</v>
      </c>
      <c r="AB28" s="307">
        <f>ROUND(AA28*$D28/100,2)</f>
        <v>18445.330000000002</v>
      </c>
      <c r="AC28" s="307">
        <f>100/18</f>
        <v>5.5555555555555554</v>
      </c>
      <c r="AD28" s="307">
        <f>ROUND(AC28*$D28/100,2)</f>
        <v>18445.330000000002</v>
      </c>
      <c r="AE28" s="307">
        <f>100/18</f>
        <v>5.5555555555555554</v>
      </c>
      <c r="AF28" s="307">
        <f t="shared" si="13"/>
        <v>18445.330000000002</v>
      </c>
      <c r="AG28" s="307">
        <f>100/18</f>
        <v>5.5555555555555554</v>
      </c>
      <c r="AH28" s="307">
        <f>ROUND(AG28*$D28/100,2)</f>
        <v>18445.330000000002</v>
      </c>
      <c r="AI28" s="307">
        <f>100/18</f>
        <v>5.5555555555555554</v>
      </c>
      <c r="AJ28" s="307">
        <f>ROUND(AI28*$D28/100,2)</f>
        <v>18445.330000000002</v>
      </c>
      <c r="AK28" s="307">
        <f>100/18</f>
        <v>5.5555555555555554</v>
      </c>
      <c r="AL28" s="307">
        <f>ROUND(AK28*$D28/100,2)</f>
        <v>18445.330000000002</v>
      </c>
      <c r="AM28" s="307">
        <f>100/18</f>
        <v>5.5555555555555554</v>
      </c>
      <c r="AN28" s="307">
        <f>ROUND(AM28*$D28/100,2)</f>
        <v>18445.330000000002</v>
      </c>
      <c r="AO28" s="307">
        <f>100/18</f>
        <v>5.5555555555555554</v>
      </c>
      <c r="AP28" s="307">
        <f>ROUND(AO28*$D28/100,2)</f>
        <v>18445.330000000002</v>
      </c>
      <c r="AQ28" s="307">
        <f>100/18</f>
        <v>5.5555555555555554</v>
      </c>
      <c r="AR28" s="307">
        <f t="shared" si="14"/>
        <v>18445.330000000002</v>
      </c>
      <c r="AS28" s="307">
        <f>100/18</f>
        <v>5.5555555555555554</v>
      </c>
      <c r="AT28" s="307">
        <f>ROUND(AS28*$D28/100,2)</f>
        <v>18445.330000000002</v>
      </c>
      <c r="AU28" s="307">
        <f>100/18</f>
        <v>5.5555555555555554</v>
      </c>
      <c r="AV28" s="307">
        <f>ROUND(AU28*$D28/100,2)</f>
        <v>18445.330000000002</v>
      </c>
      <c r="AW28" s="307">
        <f>100/18</f>
        <v>5.5555555555555554</v>
      </c>
      <c r="AX28" s="307">
        <f>ROUND(AW28*$D28/100,2)</f>
        <v>18445.330000000002</v>
      </c>
      <c r="AY28" s="307">
        <f>AZ28/D28*100</f>
        <v>5.5555384880987422</v>
      </c>
      <c r="AZ28" s="307">
        <v>18445.269999999728</v>
      </c>
      <c r="BA28" s="307">
        <f t="shared" si="9"/>
        <v>332015.87999999989</v>
      </c>
      <c r="BB28" s="310">
        <f t="shared" si="2"/>
        <v>0</v>
      </c>
      <c r="BC28" s="309">
        <f t="shared" si="15"/>
        <v>0</v>
      </c>
      <c r="BD28" s="309"/>
      <c r="BE28" s="309"/>
    </row>
    <row r="29" spans="1:57" ht="12.75" x14ac:dyDescent="0.2">
      <c r="A29" s="305" t="s">
        <v>1582</v>
      </c>
      <c r="B29" s="306" t="str">
        <f>VLOOKUP(A29,Orçamento!$A$15:$I$970,4,FALSE)</f>
        <v>INSTALAÇÕES DE ÁGUAS PLUVIAIS</v>
      </c>
      <c r="C29" s="549">
        <f t="shared" si="0"/>
        <v>6.8683079599140585E-3</v>
      </c>
      <c r="D29" s="307">
        <f>VLOOKUP(A29,Orçamento!$A$15:$I$970,9,FALSE)</f>
        <v>217585.22</v>
      </c>
      <c r="E29" s="308"/>
      <c r="F29" s="307">
        <f t="shared" si="10"/>
        <v>0</v>
      </c>
      <c r="G29" s="308">
        <v>0</v>
      </c>
      <c r="H29" s="307">
        <f t="shared" si="10"/>
        <v>0</v>
      </c>
      <c r="I29" s="308">
        <v>0</v>
      </c>
      <c r="J29" s="307">
        <f t="shared" si="5"/>
        <v>0</v>
      </c>
      <c r="K29" s="308">
        <v>0</v>
      </c>
      <c r="L29" s="307">
        <f t="shared" si="1"/>
        <v>0</v>
      </c>
      <c r="M29" s="308">
        <v>0</v>
      </c>
      <c r="N29" s="307">
        <f t="shared" si="6"/>
        <v>0</v>
      </c>
      <c r="O29" s="308"/>
      <c r="P29" s="307">
        <f t="shared" si="11"/>
        <v>0</v>
      </c>
      <c r="Q29" s="308"/>
      <c r="R29" s="307">
        <f t="shared" ref="R29:R36" si="16">ROUND(Q29*$D29/100,2)</f>
        <v>0</v>
      </c>
      <c r="S29" s="308"/>
      <c r="T29" s="307">
        <f t="shared" ref="T29:T36" si="17">ROUND(S29*$D29/100,2)</f>
        <v>0</v>
      </c>
      <c r="U29" s="308"/>
      <c r="V29" s="307">
        <f t="shared" ref="V29:V36" si="18">ROUND(U29*$D29/100,2)</f>
        <v>0</v>
      </c>
      <c r="W29" s="308"/>
      <c r="X29" s="307">
        <f t="shared" ref="X29:X36" si="19">ROUND(W29*$D29/100,2)</f>
        <v>0</v>
      </c>
      <c r="Y29" s="308"/>
      <c r="Z29" s="307">
        <f t="shared" ref="Z29:Z36" si="20">ROUND(Y29*$D29/100,2)</f>
        <v>0</v>
      </c>
      <c r="AA29" s="308"/>
      <c r="AB29" s="307">
        <f t="shared" ref="AB29:AB36" si="21">ROUND(AA29*$D29/100,2)</f>
        <v>0</v>
      </c>
      <c r="AC29" s="308">
        <v>33.340000000000003</v>
      </c>
      <c r="AD29" s="307">
        <f t="shared" ref="AD29:AD36" si="22">ROUND(AC29*$D29/100,2)</f>
        <v>72542.91</v>
      </c>
      <c r="AE29" s="308">
        <v>33.33</v>
      </c>
      <c r="AF29" s="307">
        <f t="shared" si="13"/>
        <v>72521.149999999994</v>
      </c>
      <c r="AG29" s="308">
        <f>AH29/D29*100</f>
        <v>33.330002837508907</v>
      </c>
      <c r="AH29" s="307">
        <f>D29-AD29-AF29</f>
        <v>72521.16</v>
      </c>
      <c r="AI29" s="308"/>
      <c r="AJ29" s="307">
        <f t="shared" ref="AJ29:AJ36" si="23">ROUND(AI29*$D29/100,2)</f>
        <v>0</v>
      </c>
      <c r="AK29" s="307"/>
      <c r="AL29" s="307">
        <f t="shared" ref="AL29:AL36" si="24">ROUND(AK29*$D29/100,2)</f>
        <v>0</v>
      </c>
      <c r="AM29" s="307"/>
      <c r="AN29" s="307">
        <f t="shared" ref="AN29:AN36" si="25">ROUND(AM29*$D29/100,2)</f>
        <v>0</v>
      </c>
      <c r="AO29" s="307"/>
      <c r="AP29" s="307">
        <f t="shared" ref="AP29:AP36" si="26">ROUND(AO29*$D29/100,2)</f>
        <v>0</v>
      </c>
      <c r="AQ29" s="307"/>
      <c r="AR29" s="307">
        <f t="shared" si="14"/>
        <v>0</v>
      </c>
      <c r="AS29" s="307"/>
      <c r="AT29" s="307">
        <f t="shared" ref="AT29:AT35" si="27">ROUND(AS29*$D29/100,2)</f>
        <v>0</v>
      </c>
      <c r="AU29" s="307"/>
      <c r="AV29" s="307">
        <f t="shared" ref="AV29:AV42" si="28">ROUND(AU29*$D29/100,2)</f>
        <v>0</v>
      </c>
      <c r="AW29" s="307"/>
      <c r="AX29" s="307">
        <f t="shared" ref="AX29:AX42" si="29">ROUND(AW29*$D29/100,2)</f>
        <v>0</v>
      </c>
      <c r="AY29" s="307"/>
      <c r="AZ29" s="307">
        <f t="shared" ref="AZ29:AZ39" si="30">ROUND(AY29*$D29/100,2)</f>
        <v>0</v>
      </c>
      <c r="BA29" s="307">
        <f t="shared" si="9"/>
        <v>217585.22</v>
      </c>
      <c r="BB29" s="310"/>
      <c r="BC29" s="309">
        <f t="shared" si="15"/>
        <v>0</v>
      </c>
      <c r="BD29" s="309"/>
      <c r="BE29" s="309"/>
    </row>
    <row r="30" spans="1:57" ht="12.75" x14ac:dyDescent="0.2">
      <c r="A30" s="305" t="s">
        <v>1649</v>
      </c>
      <c r="B30" s="306" t="str">
        <f>VLOOKUP(A30,Orçamento!$A$15:$I$970,4,FALSE)</f>
        <v>INSTALAÇÕES SPDA</v>
      </c>
      <c r="C30" s="549">
        <f t="shared" si="0"/>
        <v>3.5469051028738179E-3</v>
      </c>
      <c r="D30" s="307">
        <f>VLOOKUP(A30,Orçamento!$A$15:$I$970,9,FALSE)</f>
        <v>112364.51999999999</v>
      </c>
      <c r="E30" s="308"/>
      <c r="F30" s="307">
        <f t="shared" si="10"/>
        <v>0</v>
      </c>
      <c r="G30" s="308">
        <v>0</v>
      </c>
      <c r="H30" s="307">
        <f t="shared" si="10"/>
        <v>0</v>
      </c>
      <c r="I30" s="308">
        <v>0</v>
      </c>
      <c r="J30" s="307">
        <f t="shared" si="5"/>
        <v>0</v>
      </c>
      <c r="K30" s="308">
        <v>0</v>
      </c>
      <c r="L30" s="307">
        <f t="shared" si="1"/>
        <v>0</v>
      </c>
      <c r="M30" s="308">
        <v>0</v>
      </c>
      <c r="N30" s="307">
        <f t="shared" si="6"/>
        <v>0</v>
      </c>
      <c r="O30" s="308">
        <v>0</v>
      </c>
      <c r="P30" s="307">
        <f t="shared" si="11"/>
        <v>0</v>
      </c>
      <c r="Q30" s="308"/>
      <c r="R30" s="307">
        <f t="shared" si="16"/>
        <v>0</v>
      </c>
      <c r="S30" s="308"/>
      <c r="T30" s="307">
        <f t="shared" si="17"/>
        <v>0</v>
      </c>
      <c r="U30" s="308"/>
      <c r="V30" s="307">
        <f t="shared" si="18"/>
        <v>0</v>
      </c>
      <c r="W30" s="308"/>
      <c r="X30" s="307">
        <f t="shared" si="19"/>
        <v>0</v>
      </c>
      <c r="Y30" s="308"/>
      <c r="Z30" s="307">
        <f t="shared" si="20"/>
        <v>0</v>
      </c>
      <c r="AA30" s="308"/>
      <c r="AB30" s="307">
        <f t="shared" si="21"/>
        <v>0</v>
      </c>
      <c r="AC30" s="308"/>
      <c r="AD30" s="307">
        <f t="shared" si="22"/>
        <v>0</v>
      </c>
      <c r="AE30" s="308"/>
      <c r="AF30" s="307">
        <f t="shared" si="13"/>
        <v>0</v>
      </c>
      <c r="AG30" s="308"/>
      <c r="AH30" s="307">
        <f t="shared" ref="AH30:AH36" si="31">ROUND(AG30*$D30/100,2)</f>
        <v>0</v>
      </c>
      <c r="AI30" s="308">
        <v>33.340000000000003</v>
      </c>
      <c r="AJ30" s="307">
        <f t="shared" si="23"/>
        <v>37462.33</v>
      </c>
      <c r="AK30" s="308">
        <v>33.33</v>
      </c>
      <c r="AL30" s="307">
        <f t="shared" si="24"/>
        <v>37451.089999999997</v>
      </c>
      <c r="AM30" s="308">
        <v>33.33</v>
      </c>
      <c r="AN30" s="307">
        <f t="shared" si="25"/>
        <v>37451.089999999997</v>
      </c>
      <c r="AO30" s="308"/>
      <c r="AP30" s="307">
        <f t="shared" si="26"/>
        <v>0</v>
      </c>
      <c r="AQ30" s="308"/>
      <c r="AR30" s="307">
        <f t="shared" si="14"/>
        <v>0</v>
      </c>
      <c r="AS30" s="308"/>
      <c r="AT30" s="307">
        <f t="shared" si="27"/>
        <v>0</v>
      </c>
      <c r="AU30" s="308"/>
      <c r="AV30" s="307">
        <f t="shared" si="28"/>
        <v>0</v>
      </c>
      <c r="AW30" s="308"/>
      <c r="AX30" s="307">
        <f t="shared" si="29"/>
        <v>0</v>
      </c>
      <c r="AY30" s="308"/>
      <c r="AZ30" s="307">
        <f t="shared" si="30"/>
        <v>0</v>
      </c>
      <c r="BA30" s="307">
        <f t="shared" si="9"/>
        <v>112364.51</v>
      </c>
      <c r="BB30" s="310">
        <f>(D30-BA30)/D30</f>
        <v>8.8996063835464358E-8</v>
      </c>
      <c r="BC30" s="309">
        <f t="shared" si="15"/>
        <v>9.9999999947613105E-3</v>
      </c>
      <c r="BD30" s="309"/>
      <c r="BE30" s="309"/>
    </row>
    <row r="31" spans="1:57" ht="38.25" x14ac:dyDescent="0.2">
      <c r="A31" s="305" t="s">
        <v>1697</v>
      </c>
      <c r="B31" s="306" t="str">
        <f>VLOOKUP(A31,Orçamento!$A$15:$I$970,4,FALSE)</f>
        <v>INSTALAÇÕES DE TELEFONE/ANTENA/SOM/CHAMADA ENFERMAGEM</v>
      </c>
      <c r="C31" s="549">
        <f t="shared" si="0"/>
        <v>1.0835869313711381E-2</v>
      </c>
      <c r="D31" s="307">
        <f>VLOOKUP(A31,Orçamento!$A$15:$I$970,9,FALSE)</f>
        <v>343275.96</v>
      </c>
      <c r="E31" s="308"/>
      <c r="F31" s="307">
        <f t="shared" si="10"/>
        <v>0</v>
      </c>
      <c r="G31" s="308">
        <v>0</v>
      </c>
      <c r="H31" s="307">
        <f t="shared" si="10"/>
        <v>0</v>
      </c>
      <c r="I31" s="308">
        <v>0</v>
      </c>
      <c r="J31" s="307">
        <f t="shared" si="5"/>
        <v>0</v>
      </c>
      <c r="K31" s="308">
        <v>0</v>
      </c>
      <c r="L31" s="307">
        <f t="shared" si="1"/>
        <v>0</v>
      </c>
      <c r="M31" s="308">
        <v>0</v>
      </c>
      <c r="N31" s="307">
        <f t="shared" si="6"/>
        <v>0</v>
      </c>
      <c r="O31" s="308">
        <v>0</v>
      </c>
      <c r="P31" s="307">
        <f t="shared" si="11"/>
        <v>0</v>
      </c>
      <c r="Q31" s="308"/>
      <c r="R31" s="307">
        <f t="shared" si="16"/>
        <v>0</v>
      </c>
      <c r="S31" s="308"/>
      <c r="T31" s="307">
        <f t="shared" si="17"/>
        <v>0</v>
      </c>
      <c r="U31" s="308"/>
      <c r="V31" s="307">
        <f t="shared" si="18"/>
        <v>0</v>
      </c>
      <c r="W31" s="308">
        <v>10</v>
      </c>
      <c r="X31" s="307">
        <f t="shared" si="19"/>
        <v>34327.599999999999</v>
      </c>
      <c r="Y31" s="308">
        <v>10</v>
      </c>
      <c r="Z31" s="307">
        <f t="shared" si="20"/>
        <v>34327.599999999999</v>
      </c>
      <c r="AA31" s="308">
        <v>10</v>
      </c>
      <c r="AB31" s="307">
        <f t="shared" si="21"/>
        <v>34327.599999999999</v>
      </c>
      <c r="AC31" s="308">
        <v>10</v>
      </c>
      <c r="AD31" s="307">
        <f t="shared" si="22"/>
        <v>34327.599999999999</v>
      </c>
      <c r="AE31" s="308">
        <v>10</v>
      </c>
      <c r="AF31" s="307">
        <f t="shared" si="13"/>
        <v>34327.599999999999</v>
      </c>
      <c r="AG31" s="308">
        <v>10</v>
      </c>
      <c r="AH31" s="307">
        <f t="shared" si="31"/>
        <v>34327.599999999999</v>
      </c>
      <c r="AI31" s="308">
        <v>10</v>
      </c>
      <c r="AJ31" s="307">
        <f t="shared" si="23"/>
        <v>34327.599999999999</v>
      </c>
      <c r="AK31" s="307">
        <v>10</v>
      </c>
      <c r="AL31" s="307">
        <f t="shared" si="24"/>
        <v>34327.599999999999</v>
      </c>
      <c r="AM31" s="307">
        <v>10</v>
      </c>
      <c r="AN31" s="307">
        <f t="shared" si="25"/>
        <v>34327.599999999999</v>
      </c>
      <c r="AO31" s="307">
        <f>AP31/D31*100</f>
        <v>9.9999895128106342</v>
      </c>
      <c r="AP31" s="307">
        <f>D31-AN31-AL31-AJ31-AH31-AF31-AD31-AB31-Z31-X31</f>
        <v>34327.560000000034</v>
      </c>
      <c r="AQ31" s="307"/>
      <c r="AR31" s="307">
        <f t="shared" si="14"/>
        <v>0</v>
      </c>
      <c r="AS31" s="307"/>
      <c r="AT31" s="307">
        <f t="shared" si="27"/>
        <v>0</v>
      </c>
      <c r="AU31" s="307"/>
      <c r="AV31" s="307">
        <f t="shared" si="28"/>
        <v>0</v>
      </c>
      <c r="AW31" s="307"/>
      <c r="AX31" s="307">
        <f t="shared" si="29"/>
        <v>0</v>
      </c>
      <c r="AY31" s="307"/>
      <c r="AZ31" s="307">
        <f t="shared" si="30"/>
        <v>0</v>
      </c>
      <c r="BA31" s="307">
        <f t="shared" si="9"/>
        <v>343275.96</v>
      </c>
      <c r="BB31" s="310">
        <f>(D31-BA31)/D31</f>
        <v>0</v>
      </c>
      <c r="BC31" s="309">
        <f t="shared" si="15"/>
        <v>0</v>
      </c>
      <c r="BD31" s="309"/>
      <c r="BE31" s="309"/>
    </row>
    <row r="32" spans="1:57" ht="38.25" x14ac:dyDescent="0.2">
      <c r="A32" s="305" t="s">
        <v>1772</v>
      </c>
      <c r="B32" s="306" t="str">
        <f>VLOOKUP(A32,Orçamento!$A$15:$I$970,4,FALSE)</f>
        <v>INSTALAÇÕES DE CFTV/CONTROLE DE ACESSO E CABEAMENTO ESTRUTURADO</v>
      </c>
      <c r="C32" s="549">
        <f t="shared" si="0"/>
        <v>2.5378205425209369E-2</v>
      </c>
      <c r="D32" s="307">
        <f>VLOOKUP(A32,Orçamento!$A$15:$I$970,9,FALSE)</f>
        <v>803971.29</v>
      </c>
      <c r="E32" s="308"/>
      <c r="F32" s="307">
        <f t="shared" si="10"/>
        <v>0</v>
      </c>
      <c r="G32" s="308">
        <v>0</v>
      </c>
      <c r="H32" s="307">
        <f t="shared" si="10"/>
        <v>0</v>
      </c>
      <c r="I32" s="308">
        <v>0</v>
      </c>
      <c r="J32" s="307">
        <f t="shared" si="5"/>
        <v>0</v>
      </c>
      <c r="K32" s="308">
        <v>0</v>
      </c>
      <c r="L32" s="307">
        <f t="shared" si="1"/>
        <v>0</v>
      </c>
      <c r="M32" s="308">
        <v>0</v>
      </c>
      <c r="N32" s="307">
        <f t="shared" si="6"/>
        <v>0</v>
      </c>
      <c r="O32" s="308">
        <v>0</v>
      </c>
      <c r="P32" s="307">
        <f t="shared" si="11"/>
        <v>0</v>
      </c>
      <c r="Q32" s="308"/>
      <c r="R32" s="307">
        <f t="shared" si="16"/>
        <v>0</v>
      </c>
      <c r="S32" s="308"/>
      <c r="T32" s="307">
        <f t="shared" si="17"/>
        <v>0</v>
      </c>
      <c r="U32" s="308"/>
      <c r="V32" s="307">
        <f t="shared" si="18"/>
        <v>0</v>
      </c>
      <c r="W32" s="308">
        <v>0</v>
      </c>
      <c r="X32" s="307">
        <f t="shared" si="19"/>
        <v>0</v>
      </c>
      <c r="Y32" s="308"/>
      <c r="Z32" s="307">
        <f t="shared" si="20"/>
        <v>0</v>
      </c>
      <c r="AA32" s="308"/>
      <c r="AB32" s="307">
        <f t="shared" si="21"/>
        <v>0</v>
      </c>
      <c r="AC32" s="308"/>
      <c r="AD32" s="307">
        <f t="shared" si="22"/>
        <v>0</v>
      </c>
      <c r="AE32" s="308"/>
      <c r="AF32" s="307">
        <f t="shared" si="13"/>
        <v>0</v>
      </c>
      <c r="AG32" s="308"/>
      <c r="AH32" s="307">
        <f t="shared" si="31"/>
        <v>0</v>
      </c>
      <c r="AI32" s="308"/>
      <c r="AJ32" s="307">
        <f t="shared" si="23"/>
        <v>0</v>
      </c>
      <c r="AK32" s="308"/>
      <c r="AL32" s="307">
        <f t="shared" si="24"/>
        <v>0</v>
      </c>
      <c r="AM32" s="308"/>
      <c r="AN32" s="307">
        <f t="shared" si="25"/>
        <v>0</v>
      </c>
      <c r="AO32" s="308">
        <v>25</v>
      </c>
      <c r="AP32" s="307">
        <f t="shared" si="26"/>
        <v>200992.82</v>
      </c>
      <c r="AQ32" s="308">
        <v>25</v>
      </c>
      <c r="AR32" s="307">
        <f t="shared" si="14"/>
        <v>200992.82</v>
      </c>
      <c r="AS32" s="308">
        <v>25</v>
      </c>
      <c r="AT32" s="307">
        <f t="shared" si="27"/>
        <v>200992.82</v>
      </c>
      <c r="AU32" s="308">
        <v>25</v>
      </c>
      <c r="AV32" s="307">
        <f t="shared" si="28"/>
        <v>200992.82</v>
      </c>
      <c r="AW32" s="308"/>
      <c r="AX32" s="307">
        <f t="shared" si="29"/>
        <v>0</v>
      </c>
      <c r="AY32" s="308"/>
      <c r="AZ32" s="307">
        <f t="shared" si="30"/>
        <v>0</v>
      </c>
      <c r="BA32" s="307">
        <f t="shared" si="9"/>
        <v>803971.28</v>
      </c>
      <c r="BB32" s="310">
        <f>(D32-BA32)/D32</f>
        <v>1.2438255113952173E-8</v>
      </c>
      <c r="BC32" s="309">
        <f t="shared" si="15"/>
        <v>1.0000000009313226E-2</v>
      </c>
      <c r="BD32" s="309"/>
      <c r="BE32" s="309"/>
    </row>
    <row r="33" spans="1:57" ht="25.5" x14ac:dyDescent="0.2">
      <c r="A33" s="305" t="s">
        <v>1910</v>
      </c>
      <c r="B33" s="306" t="str">
        <f>VLOOKUP(A33,Orçamento!$A$15:$I$970,4,FALSE)</f>
        <v>INSTALAÇÕES DE PROTEÇÃO E COMBATE A INCÊNDIO</v>
      </c>
      <c r="C33" s="549">
        <f t="shared" si="0"/>
        <v>6.6173700991475409E-3</v>
      </c>
      <c r="D33" s="307">
        <f>VLOOKUP(A33,Orçamento!$A$15:$I$970,9,FALSE)</f>
        <v>209635.61000000004</v>
      </c>
      <c r="E33" s="308"/>
      <c r="F33" s="307">
        <f t="shared" si="10"/>
        <v>0</v>
      </c>
      <c r="G33" s="308">
        <v>0</v>
      </c>
      <c r="H33" s="307">
        <f t="shared" si="10"/>
        <v>0</v>
      </c>
      <c r="I33" s="308">
        <v>0</v>
      </c>
      <c r="J33" s="307">
        <f t="shared" si="5"/>
        <v>0</v>
      </c>
      <c r="K33" s="308">
        <v>0</v>
      </c>
      <c r="L33" s="307">
        <f t="shared" si="1"/>
        <v>0</v>
      </c>
      <c r="M33" s="308">
        <v>0</v>
      </c>
      <c r="N33" s="307">
        <f t="shared" si="6"/>
        <v>0</v>
      </c>
      <c r="O33" s="308">
        <v>0</v>
      </c>
      <c r="P33" s="307">
        <f t="shared" si="11"/>
        <v>0</v>
      </c>
      <c r="Q33" s="308"/>
      <c r="R33" s="307">
        <f t="shared" si="16"/>
        <v>0</v>
      </c>
      <c r="S33" s="308"/>
      <c r="T33" s="307">
        <f t="shared" si="17"/>
        <v>0</v>
      </c>
      <c r="U33" s="308"/>
      <c r="V33" s="307">
        <f t="shared" si="18"/>
        <v>0</v>
      </c>
      <c r="W33" s="308"/>
      <c r="X33" s="307">
        <f t="shared" si="19"/>
        <v>0</v>
      </c>
      <c r="Y33" s="308">
        <v>16.66</v>
      </c>
      <c r="Z33" s="307">
        <f t="shared" si="20"/>
        <v>34925.29</v>
      </c>
      <c r="AA33" s="308">
        <v>16.66</v>
      </c>
      <c r="AB33" s="307">
        <f t="shared" si="21"/>
        <v>34925.29</v>
      </c>
      <c r="AC33" s="308">
        <v>16.66</v>
      </c>
      <c r="AD33" s="307">
        <f t="shared" si="22"/>
        <v>34925.29</v>
      </c>
      <c r="AE33" s="308">
        <v>16.66</v>
      </c>
      <c r="AF33" s="307">
        <f t="shared" si="13"/>
        <v>34925.29</v>
      </c>
      <c r="AG33" s="308">
        <v>16.66</v>
      </c>
      <c r="AH33" s="307">
        <f t="shared" si="31"/>
        <v>34925.29</v>
      </c>
      <c r="AI33" s="308">
        <f>AJ33/D33*100</f>
        <v>16.700006263248895</v>
      </c>
      <c r="AJ33" s="307">
        <v>35009.160000000033</v>
      </c>
      <c r="AK33" s="307"/>
      <c r="AL33" s="307">
        <f t="shared" si="24"/>
        <v>0</v>
      </c>
      <c r="AM33" s="307"/>
      <c r="AN33" s="307">
        <f t="shared" si="25"/>
        <v>0</v>
      </c>
      <c r="AO33" s="307"/>
      <c r="AP33" s="307">
        <f t="shared" si="26"/>
        <v>0</v>
      </c>
      <c r="AQ33" s="307"/>
      <c r="AR33" s="307">
        <f t="shared" si="14"/>
        <v>0</v>
      </c>
      <c r="AS33" s="307"/>
      <c r="AT33" s="307">
        <f t="shared" si="27"/>
        <v>0</v>
      </c>
      <c r="AU33" s="307"/>
      <c r="AV33" s="307">
        <f t="shared" si="28"/>
        <v>0</v>
      </c>
      <c r="AW33" s="307"/>
      <c r="AX33" s="307">
        <f t="shared" si="29"/>
        <v>0</v>
      </c>
      <c r="AY33" s="307"/>
      <c r="AZ33" s="307">
        <f t="shared" si="30"/>
        <v>0</v>
      </c>
      <c r="BA33" s="307">
        <f t="shared" si="9"/>
        <v>209635.61000000007</v>
      </c>
      <c r="BB33" s="310">
        <f>(D33-BA33)/D33</f>
        <v>-1.3883056631806827E-16</v>
      </c>
      <c r="BC33" s="309">
        <f t="shared" si="15"/>
        <v>0</v>
      </c>
      <c r="BD33" s="309"/>
      <c r="BE33" s="309"/>
    </row>
    <row r="34" spans="1:57" ht="12.75" x14ac:dyDescent="0.2">
      <c r="A34" s="305" t="s">
        <v>1985</v>
      </c>
      <c r="B34" s="306" t="str">
        <f>VLOOKUP(A34,Orçamento!$A$15:$I$970,4,FALSE)</f>
        <v>INSTALAÇÕES DE CLIMATIZAÇÃO</v>
      </c>
      <c r="C34" s="549">
        <f t="shared" si="0"/>
        <v>0.11074383026061209</v>
      </c>
      <c r="D34" s="307">
        <f>VLOOKUP(A34,Orçamento!$A$15:$I$970,9,FALSE)</f>
        <v>3508319.7800000003</v>
      </c>
      <c r="E34" s="308"/>
      <c r="F34" s="307">
        <f t="shared" si="10"/>
        <v>0</v>
      </c>
      <c r="G34" s="308">
        <v>0</v>
      </c>
      <c r="H34" s="307">
        <f t="shared" si="10"/>
        <v>0</v>
      </c>
      <c r="I34" s="308">
        <v>0</v>
      </c>
      <c r="J34" s="307">
        <f t="shared" si="5"/>
        <v>0</v>
      </c>
      <c r="K34" s="308">
        <v>0</v>
      </c>
      <c r="L34" s="307">
        <f t="shared" si="1"/>
        <v>0</v>
      </c>
      <c r="M34" s="308">
        <v>0</v>
      </c>
      <c r="N34" s="307">
        <f t="shared" si="6"/>
        <v>0</v>
      </c>
      <c r="O34" s="308">
        <v>0</v>
      </c>
      <c r="P34" s="307">
        <f t="shared" si="11"/>
        <v>0</v>
      </c>
      <c r="Q34" s="308"/>
      <c r="R34" s="307">
        <f t="shared" si="16"/>
        <v>0</v>
      </c>
      <c r="S34" s="308"/>
      <c r="T34" s="307">
        <f t="shared" si="17"/>
        <v>0</v>
      </c>
      <c r="U34" s="308"/>
      <c r="V34" s="307">
        <f t="shared" si="18"/>
        <v>0</v>
      </c>
      <c r="W34" s="308"/>
      <c r="X34" s="307">
        <f t="shared" si="19"/>
        <v>0</v>
      </c>
      <c r="Y34" s="308">
        <v>8</v>
      </c>
      <c r="Z34" s="307">
        <f t="shared" si="20"/>
        <v>280665.58</v>
      </c>
      <c r="AA34" s="308">
        <v>14.3</v>
      </c>
      <c r="AB34" s="307">
        <f t="shared" si="21"/>
        <v>501689.73</v>
      </c>
      <c r="AC34" s="308">
        <v>14.3</v>
      </c>
      <c r="AD34" s="307">
        <f t="shared" si="22"/>
        <v>501689.73</v>
      </c>
      <c r="AE34" s="308">
        <v>14.3</v>
      </c>
      <c r="AF34" s="307">
        <f t="shared" si="13"/>
        <v>501689.73</v>
      </c>
      <c r="AG34" s="308">
        <v>14.3</v>
      </c>
      <c r="AH34" s="307">
        <f t="shared" si="31"/>
        <v>501689.73</v>
      </c>
      <c r="AI34" s="308">
        <v>14.3</v>
      </c>
      <c r="AJ34" s="307">
        <f t="shared" si="23"/>
        <v>501689.73</v>
      </c>
      <c r="AK34" s="308">
        <v>14.3</v>
      </c>
      <c r="AL34" s="307">
        <f t="shared" si="24"/>
        <v>501689.73</v>
      </c>
      <c r="AM34" s="308">
        <f>AN34/D34*100</f>
        <v>6.1999998187166492</v>
      </c>
      <c r="AN34" s="307">
        <f>D34-AL34-AJ34-AH34-AF34-AD34-AB34-Z34</f>
        <v>217515.82000000036</v>
      </c>
      <c r="AO34" s="308"/>
      <c r="AP34" s="307">
        <f t="shared" si="26"/>
        <v>0</v>
      </c>
      <c r="AQ34" s="308"/>
      <c r="AR34" s="307">
        <f t="shared" si="14"/>
        <v>0</v>
      </c>
      <c r="AS34" s="308"/>
      <c r="AT34" s="307">
        <f t="shared" si="27"/>
        <v>0</v>
      </c>
      <c r="AU34" s="308"/>
      <c r="AV34" s="307">
        <f t="shared" si="28"/>
        <v>0</v>
      </c>
      <c r="AW34" s="308"/>
      <c r="AX34" s="307">
        <f t="shared" si="29"/>
        <v>0</v>
      </c>
      <c r="AY34" s="308"/>
      <c r="AZ34" s="307">
        <f t="shared" si="30"/>
        <v>0</v>
      </c>
      <c r="BA34" s="307">
        <f t="shared" si="9"/>
        <v>3508319.7800000003</v>
      </c>
      <c r="BB34" s="310"/>
      <c r="BC34" s="309">
        <f t="shared" si="15"/>
        <v>0</v>
      </c>
      <c r="BD34" s="309"/>
      <c r="BE34" s="309"/>
    </row>
    <row r="35" spans="1:57" ht="12.75" x14ac:dyDescent="0.2">
      <c r="A35" s="305" t="s">
        <v>2038</v>
      </c>
      <c r="B35" s="306" t="str">
        <f>VLOOKUP(A35,Orçamento!$A$15:$I$970,4,FALSE)</f>
        <v>INSTALAÇÕES DE GÁS GLP</v>
      </c>
      <c r="C35" s="549">
        <f t="shared" si="0"/>
        <v>6.1468240071421601E-4</v>
      </c>
      <c r="D35" s="307">
        <f>VLOOKUP(A35,Orçamento!$A$15:$I$970,9,FALSE)</f>
        <v>19472.889999999996</v>
      </c>
      <c r="E35" s="308"/>
      <c r="F35" s="307">
        <f t="shared" si="10"/>
        <v>0</v>
      </c>
      <c r="G35" s="308">
        <v>0</v>
      </c>
      <c r="H35" s="307">
        <f t="shared" si="10"/>
        <v>0</v>
      </c>
      <c r="I35" s="308">
        <v>0</v>
      </c>
      <c r="J35" s="307">
        <f t="shared" si="5"/>
        <v>0</v>
      </c>
      <c r="K35" s="308">
        <v>0</v>
      </c>
      <c r="L35" s="307">
        <f t="shared" si="1"/>
        <v>0</v>
      </c>
      <c r="M35" s="308">
        <v>0</v>
      </c>
      <c r="N35" s="307">
        <f t="shared" si="6"/>
        <v>0</v>
      </c>
      <c r="O35" s="308">
        <v>0</v>
      </c>
      <c r="P35" s="307">
        <f t="shared" si="11"/>
        <v>0</v>
      </c>
      <c r="Q35" s="308">
        <v>0</v>
      </c>
      <c r="R35" s="307">
        <f t="shared" si="16"/>
        <v>0</v>
      </c>
      <c r="S35" s="308"/>
      <c r="T35" s="307">
        <f t="shared" si="17"/>
        <v>0</v>
      </c>
      <c r="U35" s="308"/>
      <c r="V35" s="307">
        <f t="shared" si="18"/>
        <v>0</v>
      </c>
      <c r="W35" s="308"/>
      <c r="X35" s="307">
        <f t="shared" si="19"/>
        <v>0</v>
      </c>
      <c r="Y35" s="308"/>
      <c r="Z35" s="307">
        <f t="shared" si="20"/>
        <v>0</v>
      </c>
      <c r="AA35" s="308"/>
      <c r="AB35" s="307">
        <f t="shared" si="21"/>
        <v>0</v>
      </c>
      <c r="AC35" s="308">
        <v>100</v>
      </c>
      <c r="AD35" s="307">
        <f t="shared" si="22"/>
        <v>19472.89</v>
      </c>
      <c r="AE35" s="308"/>
      <c r="AF35" s="307">
        <f t="shared" si="13"/>
        <v>0</v>
      </c>
      <c r="AG35" s="308"/>
      <c r="AH35" s="307">
        <f t="shared" si="31"/>
        <v>0</v>
      </c>
      <c r="AI35" s="308"/>
      <c r="AJ35" s="307">
        <f t="shared" si="23"/>
        <v>0</v>
      </c>
      <c r="AK35" s="307"/>
      <c r="AL35" s="307">
        <f t="shared" si="24"/>
        <v>0</v>
      </c>
      <c r="AM35" s="307"/>
      <c r="AN35" s="307">
        <f t="shared" si="25"/>
        <v>0</v>
      </c>
      <c r="AO35" s="307"/>
      <c r="AP35" s="307">
        <f t="shared" si="26"/>
        <v>0</v>
      </c>
      <c r="AQ35" s="307"/>
      <c r="AR35" s="307">
        <f t="shared" si="14"/>
        <v>0</v>
      </c>
      <c r="AS35" s="307"/>
      <c r="AT35" s="307">
        <f t="shared" si="27"/>
        <v>0</v>
      </c>
      <c r="AU35" s="307"/>
      <c r="AV35" s="307">
        <f t="shared" si="28"/>
        <v>0</v>
      </c>
      <c r="AW35" s="307"/>
      <c r="AX35" s="307">
        <f t="shared" si="29"/>
        <v>0</v>
      </c>
      <c r="AY35" s="307"/>
      <c r="AZ35" s="307">
        <f t="shared" si="30"/>
        <v>0</v>
      </c>
      <c r="BA35" s="307">
        <f t="shared" si="9"/>
        <v>19472.89</v>
      </c>
      <c r="BB35" s="310">
        <f t="shared" ref="BB35:BB40" si="32">(D35-BA35)/D35</f>
        <v>-1.8682274727026721E-16</v>
      </c>
      <c r="BC35" s="309">
        <f t="shared" si="15"/>
        <v>0</v>
      </c>
      <c r="BD35" s="309"/>
      <c r="BE35" s="309"/>
    </row>
    <row r="36" spans="1:57" ht="12.75" x14ac:dyDescent="0.2">
      <c r="A36" s="305" t="s">
        <v>2103</v>
      </c>
      <c r="B36" s="306" t="str">
        <f>VLOOKUP(A36,Orçamento!$A$15:$I$970,4,FALSE)</f>
        <v>INSTALAÇÕES DE GASES MEDICINAIS</v>
      </c>
      <c r="C36" s="549">
        <f t="shared" si="0"/>
        <v>3.3135663302875852E-2</v>
      </c>
      <c r="D36" s="307">
        <f>VLOOKUP(A36,Orçamento!$A$15:$I$970,9,FALSE)</f>
        <v>1049724.4200000002</v>
      </c>
      <c r="E36" s="308"/>
      <c r="F36" s="307">
        <f t="shared" si="10"/>
        <v>0</v>
      </c>
      <c r="G36" s="308">
        <v>0</v>
      </c>
      <c r="H36" s="307">
        <f t="shared" si="10"/>
        <v>0</v>
      </c>
      <c r="I36" s="308"/>
      <c r="J36" s="307">
        <f t="shared" si="5"/>
        <v>0</v>
      </c>
      <c r="K36" s="308"/>
      <c r="L36" s="307">
        <f t="shared" si="1"/>
        <v>0</v>
      </c>
      <c r="M36" s="308"/>
      <c r="N36" s="307">
        <f t="shared" si="6"/>
        <v>0</v>
      </c>
      <c r="O36" s="308"/>
      <c r="P36" s="307">
        <f t="shared" si="11"/>
        <v>0</v>
      </c>
      <c r="Q36" s="308"/>
      <c r="R36" s="307">
        <f t="shared" si="16"/>
        <v>0</v>
      </c>
      <c r="S36" s="308"/>
      <c r="T36" s="307">
        <f t="shared" si="17"/>
        <v>0</v>
      </c>
      <c r="U36" s="308"/>
      <c r="V36" s="307">
        <f t="shared" si="18"/>
        <v>0</v>
      </c>
      <c r="W36" s="308"/>
      <c r="X36" s="307">
        <f t="shared" si="19"/>
        <v>0</v>
      </c>
      <c r="Y36" s="308"/>
      <c r="Z36" s="307">
        <f t="shared" si="20"/>
        <v>0</v>
      </c>
      <c r="AA36" s="308"/>
      <c r="AB36" s="307">
        <f t="shared" si="21"/>
        <v>0</v>
      </c>
      <c r="AC36" s="308"/>
      <c r="AD36" s="307">
        <f t="shared" si="22"/>
        <v>0</v>
      </c>
      <c r="AE36" s="308"/>
      <c r="AF36" s="307">
        <f t="shared" si="13"/>
        <v>0</v>
      </c>
      <c r="AG36" s="308"/>
      <c r="AH36" s="307">
        <f t="shared" si="31"/>
        <v>0</v>
      </c>
      <c r="AI36" s="308"/>
      <c r="AJ36" s="307">
        <f t="shared" si="23"/>
        <v>0</v>
      </c>
      <c r="AK36" s="308"/>
      <c r="AL36" s="307">
        <f t="shared" si="24"/>
        <v>0</v>
      </c>
      <c r="AM36" s="308">
        <v>25</v>
      </c>
      <c r="AN36" s="307">
        <f t="shared" si="25"/>
        <v>262431.11</v>
      </c>
      <c r="AO36" s="308">
        <v>25</v>
      </c>
      <c r="AP36" s="307">
        <f t="shared" si="26"/>
        <v>262431.11</v>
      </c>
      <c r="AQ36" s="308">
        <v>25</v>
      </c>
      <c r="AR36" s="307">
        <f t="shared" si="14"/>
        <v>262431.11</v>
      </c>
      <c r="AS36" s="308">
        <v>25</v>
      </c>
      <c r="AT36" s="307">
        <f>D36-AR36-AP36-AN36</f>
        <v>262431.0900000002</v>
      </c>
      <c r="AU36" s="308"/>
      <c r="AV36" s="307">
        <f t="shared" si="28"/>
        <v>0</v>
      </c>
      <c r="AW36" s="308"/>
      <c r="AX36" s="307">
        <f t="shared" si="29"/>
        <v>0</v>
      </c>
      <c r="AY36" s="308"/>
      <c r="AZ36" s="307">
        <f t="shared" si="30"/>
        <v>0</v>
      </c>
      <c r="BA36" s="307">
        <f t="shared" si="9"/>
        <v>1049724.4200000002</v>
      </c>
      <c r="BB36" s="310">
        <f t="shared" si="32"/>
        <v>0</v>
      </c>
      <c r="BC36" s="309">
        <f t="shared" si="15"/>
        <v>0</v>
      </c>
      <c r="BD36" s="309"/>
      <c r="BE36" s="309"/>
    </row>
    <row r="37" spans="1:57" ht="12.75" x14ac:dyDescent="0.2">
      <c r="A37" s="305" t="s">
        <v>2172</v>
      </c>
      <c r="B37" s="306" t="str">
        <f>VLOOKUP(A37,Orçamento!$A$15:$I$970,4,FALSE)</f>
        <v>LOUÇAS E METAIS</v>
      </c>
      <c r="C37" s="549">
        <f t="shared" ref="C37:C42" si="33">D37/$D$44</f>
        <v>2.2925402981309496E-2</v>
      </c>
      <c r="D37" s="307">
        <f>VLOOKUP(A37,Orçamento!$A$15:$I$970,9,FALSE)</f>
        <v>726267.49999999988</v>
      </c>
      <c r="E37" s="308"/>
      <c r="F37" s="307"/>
      <c r="G37" s="308"/>
      <c r="H37" s="307"/>
      <c r="I37" s="308"/>
      <c r="J37" s="307"/>
      <c r="K37" s="308"/>
      <c r="L37" s="307"/>
      <c r="M37" s="308"/>
      <c r="N37" s="307"/>
      <c r="O37" s="308"/>
      <c r="P37" s="307">
        <f t="shared" si="11"/>
        <v>0</v>
      </c>
      <c r="Q37" s="308"/>
      <c r="R37" s="307">
        <f>ROUND(Q37*$D37/100,2)</f>
        <v>0</v>
      </c>
      <c r="S37" s="308"/>
      <c r="T37" s="307">
        <f>ROUND(S37*$D37/100,2)</f>
        <v>0</v>
      </c>
      <c r="U37" s="308"/>
      <c r="V37" s="307">
        <f>ROUND(U37*$D37/100,2)</f>
        <v>0</v>
      </c>
      <c r="W37" s="308"/>
      <c r="X37" s="307"/>
      <c r="Y37" s="308"/>
      <c r="Z37" s="307"/>
      <c r="AA37" s="308"/>
      <c r="AB37" s="307"/>
      <c r="AC37" s="308"/>
      <c r="AD37" s="307"/>
      <c r="AE37" s="308"/>
      <c r="AF37" s="307"/>
      <c r="AG37" s="308"/>
      <c r="AH37" s="307"/>
      <c r="AI37" s="308"/>
      <c r="AJ37" s="307"/>
      <c r="AK37" s="308"/>
      <c r="AL37" s="307"/>
      <c r="AM37" s="308"/>
      <c r="AN37" s="307"/>
      <c r="AO37" s="308"/>
      <c r="AP37" s="307"/>
      <c r="AQ37" s="308"/>
      <c r="AR37" s="307"/>
      <c r="AS37" s="308"/>
      <c r="AT37" s="307"/>
      <c r="AU37" s="308">
        <v>50</v>
      </c>
      <c r="AV37" s="307">
        <f t="shared" si="28"/>
        <v>363133.75</v>
      </c>
      <c r="AW37" s="308">
        <v>50</v>
      </c>
      <c r="AX37" s="307">
        <f>D37-AV37</f>
        <v>363133.74999999988</v>
      </c>
      <c r="AY37" s="308"/>
      <c r="AZ37" s="307">
        <f t="shared" si="30"/>
        <v>0</v>
      </c>
      <c r="BA37" s="307">
        <f t="shared" si="9"/>
        <v>726267.49999999988</v>
      </c>
      <c r="BB37" s="310">
        <f t="shared" si="32"/>
        <v>0</v>
      </c>
      <c r="BC37" s="309">
        <f t="shared" si="15"/>
        <v>0</v>
      </c>
      <c r="BD37" s="309"/>
      <c r="BE37" s="309"/>
    </row>
    <row r="38" spans="1:57" ht="12.75" x14ac:dyDescent="0.2">
      <c r="A38" s="305" t="s">
        <v>2282</v>
      </c>
      <c r="B38" s="306" t="str">
        <f>VLOOKUP(A38,Orçamento!$A$15:$I$970,4,FALSE)</f>
        <v>PAVIMENTAÇÃO</v>
      </c>
      <c r="C38" s="549">
        <f t="shared" si="33"/>
        <v>7.2804138807856869E-2</v>
      </c>
      <c r="D38" s="307">
        <f>VLOOKUP(A38,Orçamento!$A$15:$I$970,9,FALSE)</f>
        <v>2306405.69</v>
      </c>
      <c r="E38" s="308"/>
      <c r="F38" s="307"/>
      <c r="G38" s="308"/>
      <c r="H38" s="307"/>
      <c r="I38" s="308"/>
      <c r="J38" s="307"/>
      <c r="K38" s="308"/>
      <c r="L38" s="307"/>
      <c r="M38" s="308"/>
      <c r="N38" s="307"/>
      <c r="O38" s="308"/>
      <c r="P38" s="307">
        <f t="shared" si="11"/>
        <v>0</v>
      </c>
      <c r="Q38" s="308"/>
      <c r="R38" s="307">
        <f>ROUND(Q38*$D38/100,2)</f>
        <v>0</v>
      </c>
      <c r="S38" s="308"/>
      <c r="T38" s="307">
        <f>ROUND(S38*$D38/100,2)</f>
        <v>0</v>
      </c>
      <c r="U38" s="308"/>
      <c r="V38" s="307">
        <f>ROUND(U38*$D38/100,2)</f>
        <v>0</v>
      </c>
      <c r="W38" s="308"/>
      <c r="X38" s="307">
        <f>ROUND(W38*$D38/100,2)</f>
        <v>0</v>
      </c>
      <c r="Y38" s="308"/>
      <c r="Z38" s="307">
        <f>ROUND(Y38*$D38/100,2)</f>
        <v>0</v>
      </c>
      <c r="AA38" s="308"/>
      <c r="AB38" s="307">
        <f>ROUND(AA38*$D38/100,2)</f>
        <v>0</v>
      </c>
      <c r="AC38" s="308">
        <v>10</v>
      </c>
      <c r="AD38" s="307">
        <f>ROUND(AC38*$D38/100,2)</f>
        <v>230640.57</v>
      </c>
      <c r="AE38" s="308">
        <v>10</v>
      </c>
      <c r="AF38" s="307">
        <f>ROUND(AE38*$D38/100,2)</f>
        <v>230640.57</v>
      </c>
      <c r="AG38" s="308">
        <v>10</v>
      </c>
      <c r="AH38" s="307">
        <f>ROUND(AG38*$D38/100,2)</f>
        <v>230640.57</v>
      </c>
      <c r="AI38" s="308">
        <v>10</v>
      </c>
      <c r="AJ38" s="307">
        <f>ROUND(AI38*$D38/100,2)</f>
        <v>230640.57</v>
      </c>
      <c r="AK38" s="308">
        <v>10</v>
      </c>
      <c r="AL38" s="307">
        <f>ROUND(AK38*$D38/100,2)</f>
        <v>230640.57</v>
      </c>
      <c r="AM38" s="308">
        <v>10</v>
      </c>
      <c r="AN38" s="307">
        <f>ROUND(AM38*$D38/100,2)</f>
        <v>230640.57</v>
      </c>
      <c r="AO38" s="308">
        <v>10</v>
      </c>
      <c r="AP38" s="307">
        <f>ROUND(AO38*$D38/100,2)</f>
        <v>230640.57</v>
      </c>
      <c r="AQ38" s="308">
        <v>10</v>
      </c>
      <c r="AR38" s="307">
        <f>ROUND(AQ38*$D38/100,2)</f>
        <v>230640.57</v>
      </c>
      <c r="AS38" s="308">
        <v>10</v>
      </c>
      <c r="AT38" s="307">
        <f>ROUND(AS38*$D38/100,2)</f>
        <v>230640.57</v>
      </c>
      <c r="AU38" s="308">
        <v>10</v>
      </c>
      <c r="AV38" s="307">
        <f>D38-AT38-AR38-AP38-AN38-AL38-AJ38-AH38-AF38-AD38</f>
        <v>230640.55999999947</v>
      </c>
      <c r="AW38" s="308"/>
      <c r="AX38" s="307">
        <f t="shared" si="29"/>
        <v>0</v>
      </c>
      <c r="AY38" s="308"/>
      <c r="AZ38" s="307">
        <f t="shared" si="30"/>
        <v>0</v>
      </c>
      <c r="BA38" s="307">
        <f t="shared" si="9"/>
        <v>2306405.69</v>
      </c>
      <c r="BB38" s="310">
        <f t="shared" si="32"/>
        <v>0</v>
      </c>
      <c r="BC38" s="309">
        <f t="shared" si="15"/>
        <v>0</v>
      </c>
      <c r="BD38" s="309"/>
      <c r="BE38" s="309"/>
    </row>
    <row r="39" spans="1:57" ht="38.25" x14ac:dyDescent="0.2">
      <c r="A39" s="305" t="s">
        <v>2302</v>
      </c>
      <c r="B39" s="306" t="str">
        <f>VLOOKUP(A39,Orçamento!$A$15:$I$970,4,FALSE)</f>
        <v>REVESTIMENTOS, FORROS, MARCENARIA, SERRALHERIA E PINTURAS</v>
      </c>
      <c r="C39" s="549">
        <f t="shared" si="33"/>
        <v>9.6115450753320508E-2</v>
      </c>
      <c r="D39" s="307">
        <f>VLOOKUP(A39,Orçamento!$A$15:$I$970,9,FALSE)</f>
        <v>3044898.6299999994</v>
      </c>
      <c r="E39" s="308"/>
      <c r="F39" s="307"/>
      <c r="G39" s="308"/>
      <c r="H39" s="307"/>
      <c r="I39" s="308"/>
      <c r="J39" s="307"/>
      <c r="K39" s="308"/>
      <c r="L39" s="307"/>
      <c r="M39" s="308"/>
      <c r="N39" s="307"/>
      <c r="O39" s="308"/>
      <c r="P39" s="307">
        <f t="shared" si="11"/>
        <v>0</v>
      </c>
      <c r="Q39" s="308"/>
      <c r="R39" s="307">
        <f>ROUND(Q39*$D39/100,2)</f>
        <v>0</v>
      </c>
      <c r="S39" s="308"/>
      <c r="T39" s="307">
        <f>ROUND(S39*$D39/100,2)</f>
        <v>0</v>
      </c>
      <c r="U39" s="308"/>
      <c r="V39" s="307">
        <f>ROUND(U39*$D39/100,2)</f>
        <v>0</v>
      </c>
      <c r="W39" s="308">
        <v>10</v>
      </c>
      <c r="X39" s="307">
        <f>ROUND(W39*$D39/100,2)</f>
        <v>304489.86</v>
      </c>
      <c r="Y39" s="308">
        <v>10</v>
      </c>
      <c r="Z39" s="307">
        <f>ROUND(Y39*$D39/100,2)</f>
        <v>304489.86</v>
      </c>
      <c r="AA39" s="308">
        <v>10</v>
      </c>
      <c r="AB39" s="307">
        <f>ROUND(AA39*$D39/100,2)</f>
        <v>304489.86</v>
      </c>
      <c r="AC39" s="308">
        <v>10</v>
      </c>
      <c r="AD39" s="307">
        <f>ROUND(AC39*$D39/100,2)</f>
        <v>304489.86</v>
      </c>
      <c r="AE39" s="308">
        <v>10</v>
      </c>
      <c r="AF39" s="307">
        <f>ROUND(AE39*$D39/100,2)</f>
        <v>304489.86</v>
      </c>
      <c r="AG39" s="308">
        <v>10</v>
      </c>
      <c r="AH39" s="307">
        <f>ROUND(AG39*$D39/100,2)</f>
        <v>304489.86</v>
      </c>
      <c r="AI39" s="308">
        <v>10</v>
      </c>
      <c r="AJ39" s="307">
        <f>ROUND(AI39*$D39/100,2)</f>
        <v>304489.86</v>
      </c>
      <c r="AK39" s="308">
        <v>10</v>
      </c>
      <c r="AL39" s="307">
        <f>ROUND(AK39*$D39/100,2)</f>
        <v>304489.86</v>
      </c>
      <c r="AM39" s="308">
        <v>10</v>
      </c>
      <c r="AN39" s="307">
        <f>ROUND(AM39*$D39/100,2)</f>
        <v>304489.86</v>
      </c>
      <c r="AO39" s="308">
        <v>10</v>
      </c>
      <c r="AP39" s="307">
        <f>D39-AN39-AL39-AJ39-AH39-AF39-AD39-AB39-Z39-X39</f>
        <v>304489.89000000025</v>
      </c>
      <c r="AQ39" s="308"/>
      <c r="AR39" s="307"/>
      <c r="AS39" s="308"/>
      <c r="AT39" s="307"/>
      <c r="AU39" s="308"/>
      <c r="AV39" s="307">
        <f t="shared" si="28"/>
        <v>0</v>
      </c>
      <c r="AW39" s="308"/>
      <c r="AX39" s="307">
        <f t="shared" si="29"/>
        <v>0</v>
      </c>
      <c r="AY39" s="308"/>
      <c r="AZ39" s="307">
        <f t="shared" si="30"/>
        <v>0</v>
      </c>
      <c r="BA39" s="307">
        <f t="shared" si="9"/>
        <v>3044898.6299999994</v>
      </c>
      <c r="BB39" s="310">
        <f t="shared" si="32"/>
        <v>0</v>
      </c>
      <c r="BC39" s="309">
        <f t="shared" si="15"/>
        <v>0</v>
      </c>
      <c r="BD39" s="309"/>
      <c r="BE39" s="309"/>
    </row>
    <row r="40" spans="1:57" ht="12.75" x14ac:dyDescent="0.2">
      <c r="A40" s="305" t="s">
        <v>2336</v>
      </c>
      <c r="B40" s="306" t="str">
        <f>VLOOKUP(A40,Orçamento!$A$15:$I$970,4,FALSE)</f>
        <v>PINTURAS</v>
      </c>
      <c r="C40" s="549">
        <f t="shared" si="33"/>
        <v>2.3003679863869978E-2</v>
      </c>
      <c r="D40" s="307">
        <f>VLOOKUP(A40,Orçamento!$A$15:$I$970,9,FALSE)</f>
        <v>728747.28</v>
      </c>
      <c r="E40" s="308"/>
      <c r="F40" s="307"/>
      <c r="G40" s="308"/>
      <c r="H40" s="307"/>
      <c r="I40" s="308"/>
      <c r="J40" s="307"/>
      <c r="K40" s="308"/>
      <c r="L40" s="307"/>
      <c r="M40" s="308"/>
      <c r="N40" s="307"/>
      <c r="O40" s="308"/>
      <c r="P40" s="307">
        <f t="shared" si="11"/>
        <v>0</v>
      </c>
      <c r="Q40" s="308"/>
      <c r="R40" s="307">
        <f>ROUND(Q40*$D40/100,2)</f>
        <v>0</v>
      </c>
      <c r="S40" s="308"/>
      <c r="T40" s="307">
        <f>ROUND(S40*$D40/100,2)</f>
        <v>0</v>
      </c>
      <c r="U40" s="308"/>
      <c r="V40" s="307">
        <f>ROUND(U40*$D40/100,2)</f>
        <v>0</v>
      </c>
      <c r="W40" s="308"/>
      <c r="X40" s="307"/>
      <c r="Y40" s="308"/>
      <c r="Z40" s="307"/>
      <c r="AA40" s="308"/>
      <c r="AB40" s="307"/>
      <c r="AC40" s="308"/>
      <c r="AD40" s="307"/>
      <c r="AE40" s="308"/>
      <c r="AF40" s="307"/>
      <c r="AG40" s="308"/>
      <c r="AH40" s="307"/>
      <c r="AI40" s="308"/>
      <c r="AJ40" s="307"/>
      <c r="AK40" s="308"/>
      <c r="AL40" s="307"/>
      <c r="AM40" s="308"/>
      <c r="AN40" s="307"/>
      <c r="AO40" s="308"/>
      <c r="AP40" s="307"/>
      <c r="AQ40" s="308"/>
      <c r="AR40" s="307"/>
      <c r="AS40" s="308"/>
      <c r="AT40" s="307"/>
      <c r="AU40" s="308">
        <v>33.33</v>
      </c>
      <c r="AV40" s="307">
        <f>ROUND(AU40*$D40/100,2)</f>
        <v>242891.47</v>
      </c>
      <c r="AW40" s="308">
        <v>33.33</v>
      </c>
      <c r="AX40" s="307">
        <f>ROUND(AW40*$D40/100,2)</f>
        <v>242891.47</v>
      </c>
      <c r="AY40" s="308">
        <v>33.340000000000003</v>
      </c>
      <c r="AZ40" s="307">
        <f>D40-AV40-AX40</f>
        <v>242964.34000000005</v>
      </c>
      <c r="BA40" s="307">
        <f t="shared" si="9"/>
        <v>728747.28</v>
      </c>
      <c r="BB40" s="310">
        <f t="shared" si="32"/>
        <v>0</v>
      </c>
      <c r="BC40" s="309">
        <f t="shared" si="15"/>
        <v>0</v>
      </c>
      <c r="BD40" s="309"/>
      <c r="BE40" s="309"/>
    </row>
    <row r="41" spans="1:57" ht="12.75" x14ac:dyDescent="0.2">
      <c r="A41" s="305" t="s">
        <v>2353</v>
      </c>
      <c r="B41" s="306" t="str">
        <f>VLOOKUP(A41,Orçamento!$A$15:$I$970,4,FALSE)</f>
        <v>URBANIZAÇÃO/PAISAGISMO</v>
      </c>
      <c r="C41" s="549">
        <f t="shared" si="33"/>
        <v>9.4678966832019984E-3</v>
      </c>
      <c r="D41" s="307">
        <f>VLOOKUP(A41,Orçamento!$A$15:$I$970,9,FALSE)</f>
        <v>299939.14</v>
      </c>
      <c r="E41" s="308"/>
      <c r="F41" s="307"/>
      <c r="G41" s="308"/>
      <c r="H41" s="307"/>
      <c r="I41" s="308"/>
      <c r="J41" s="307"/>
      <c r="K41" s="308"/>
      <c r="L41" s="307"/>
      <c r="M41" s="308"/>
      <c r="N41" s="307"/>
      <c r="O41" s="308"/>
      <c r="P41" s="307"/>
      <c r="Q41" s="308"/>
      <c r="R41" s="307"/>
      <c r="S41" s="308"/>
      <c r="T41" s="307"/>
      <c r="U41" s="308"/>
      <c r="V41" s="307"/>
      <c r="W41" s="308"/>
      <c r="X41" s="307"/>
      <c r="Y41" s="308"/>
      <c r="Z41" s="307"/>
      <c r="AA41" s="308"/>
      <c r="AB41" s="307"/>
      <c r="AC41" s="308"/>
      <c r="AD41" s="307"/>
      <c r="AE41" s="308"/>
      <c r="AF41" s="307"/>
      <c r="AG41" s="308"/>
      <c r="AH41" s="307"/>
      <c r="AI41" s="308"/>
      <c r="AJ41" s="307"/>
      <c r="AK41" s="308"/>
      <c r="AL41" s="307"/>
      <c r="AM41" s="308"/>
      <c r="AN41" s="307"/>
      <c r="AO41" s="308"/>
      <c r="AP41" s="307"/>
      <c r="AQ41" s="308"/>
      <c r="AR41" s="307"/>
      <c r="AS41" s="308"/>
      <c r="AT41" s="307"/>
      <c r="AU41" s="308"/>
      <c r="AV41" s="307"/>
      <c r="AW41" s="308"/>
      <c r="AX41" s="307"/>
      <c r="AY41" s="308">
        <v>100</v>
      </c>
      <c r="AZ41" s="307">
        <f>D41-AV41-AX41</f>
        <v>299939.14</v>
      </c>
      <c r="BA41" s="307">
        <f t="shared" si="9"/>
        <v>299939.14</v>
      </c>
      <c r="BB41" s="310"/>
      <c r="BC41" s="309"/>
      <c r="BD41" s="309"/>
      <c r="BE41" s="309"/>
    </row>
    <row r="42" spans="1:57" ht="12.75" x14ac:dyDescent="0.2">
      <c r="A42" s="305" t="s">
        <v>2364</v>
      </c>
      <c r="B42" s="306" t="str">
        <f>VLOOKUP(A42,Orçamento!$A$15:$I$970,4,FALSE)</f>
        <v>DIVERSOS</v>
      </c>
      <c r="C42" s="549">
        <f t="shared" si="33"/>
        <v>5.1889803467757619E-3</v>
      </c>
      <c r="D42" s="307">
        <f>VLOOKUP(A42,Orçamento!$A$15:$I$970,9,FALSE)</f>
        <v>164384.79999999999</v>
      </c>
      <c r="E42" s="308"/>
      <c r="F42" s="307"/>
      <c r="G42" s="308"/>
      <c r="H42" s="307"/>
      <c r="I42" s="308"/>
      <c r="J42" s="307"/>
      <c r="K42" s="308"/>
      <c r="L42" s="307"/>
      <c r="M42" s="308"/>
      <c r="N42" s="307"/>
      <c r="O42" s="308"/>
      <c r="P42" s="307">
        <f>ROUND(O42*$D42/100,2)</f>
        <v>0</v>
      </c>
      <c r="Q42" s="308"/>
      <c r="R42" s="307">
        <f>ROUND(Q42*$D42/100,2)</f>
        <v>0</v>
      </c>
      <c r="S42" s="308"/>
      <c r="T42" s="307">
        <f>ROUND(S42*$D42/100,2)</f>
        <v>0</v>
      </c>
      <c r="U42" s="308"/>
      <c r="V42" s="307">
        <f>ROUND(U42*$D42/100,2)</f>
        <v>0</v>
      </c>
      <c r="W42" s="308"/>
      <c r="X42" s="307"/>
      <c r="Y42" s="308"/>
      <c r="Z42" s="307"/>
      <c r="AA42" s="308"/>
      <c r="AB42" s="307"/>
      <c r="AC42" s="308"/>
      <c r="AD42" s="307"/>
      <c r="AE42" s="308"/>
      <c r="AF42" s="307"/>
      <c r="AG42" s="308"/>
      <c r="AH42" s="307"/>
      <c r="AI42" s="308"/>
      <c r="AJ42" s="307"/>
      <c r="AK42" s="308"/>
      <c r="AL42" s="307"/>
      <c r="AM42" s="308"/>
      <c r="AN42" s="307"/>
      <c r="AO42" s="308"/>
      <c r="AP42" s="307"/>
      <c r="AQ42" s="308"/>
      <c r="AR42" s="307"/>
      <c r="AS42" s="308"/>
      <c r="AT42" s="307"/>
      <c r="AU42" s="308">
        <v>33.33</v>
      </c>
      <c r="AV42" s="307">
        <f t="shared" si="28"/>
        <v>54789.45</v>
      </c>
      <c r="AW42" s="308">
        <v>33.33</v>
      </c>
      <c r="AX42" s="307">
        <f t="shared" si="29"/>
        <v>54789.45</v>
      </c>
      <c r="AY42" s="308">
        <v>33.340000000000003</v>
      </c>
      <c r="AZ42" s="307">
        <f>D42-AV42-AX42</f>
        <v>54805.899999999994</v>
      </c>
      <c r="BA42" s="307">
        <f t="shared" si="9"/>
        <v>164384.79999999999</v>
      </c>
      <c r="BB42" s="310">
        <f>(D42-BA42)/D42</f>
        <v>0</v>
      </c>
      <c r="BC42" s="309">
        <f>+D42-BA42</f>
        <v>0</v>
      </c>
      <c r="BD42" s="309"/>
      <c r="BE42" s="309"/>
    </row>
    <row r="43" spans="1:57" s="288" customFormat="1" ht="4.1500000000000004" customHeight="1" x14ac:dyDescent="0.2">
      <c r="A43" s="311"/>
      <c r="B43" s="312"/>
      <c r="C43" s="313"/>
      <c r="D43" s="314"/>
      <c r="E43" s="314"/>
      <c r="F43" s="314"/>
      <c r="G43" s="313"/>
      <c r="H43" s="314"/>
      <c r="I43" s="313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314"/>
      <c r="AT43" s="314"/>
      <c r="AU43" s="314"/>
      <c r="AV43" s="314"/>
      <c r="AW43" s="314"/>
      <c r="AX43" s="314"/>
      <c r="AY43" s="314"/>
      <c r="AZ43" s="314"/>
      <c r="BA43" s="314"/>
      <c r="BB43" s="287"/>
    </row>
    <row r="44" spans="1:57" ht="16.899999999999999" customHeight="1" x14ac:dyDescent="0.2">
      <c r="A44" s="626"/>
      <c r="B44" s="626" t="s">
        <v>2408</v>
      </c>
      <c r="C44" s="627">
        <f>D44/D48</f>
        <v>0.9123102250792442</v>
      </c>
      <c r="D44" s="628">
        <f>SUM(D18:D42)</f>
        <v>31679595.800000004</v>
      </c>
      <c r="E44" s="629">
        <f>+F44/$D$44</f>
        <v>3.6248443232978364E-2</v>
      </c>
      <c r="F44" s="628">
        <f>SUM(F18:F42)</f>
        <v>1148336.03</v>
      </c>
      <c r="G44" s="629">
        <f>+H44/$D$44</f>
        <v>4.3119482288344092E-2</v>
      </c>
      <c r="H44" s="628">
        <f>SUM(H18:H42)</f>
        <v>1366007.77</v>
      </c>
      <c r="I44" s="629">
        <f>+J44/$D$44</f>
        <v>3.474957878092623E-2</v>
      </c>
      <c r="J44" s="628">
        <f>SUM(J18:J42)</f>
        <v>1100852.6099999999</v>
      </c>
      <c r="K44" s="629">
        <f>+L44/$D$44</f>
        <v>4.2129816567924756E-2</v>
      </c>
      <c r="L44" s="628">
        <f>SUM(L18:L42)</f>
        <v>1334655.5599999998</v>
      </c>
      <c r="M44" s="629">
        <f>+N44/$D$44</f>
        <v>4.2129816567924756E-2</v>
      </c>
      <c r="N44" s="628">
        <f>SUM(N18:N42)</f>
        <v>1334655.5599999998</v>
      </c>
      <c r="O44" s="629">
        <f>+P44/$D$44</f>
        <v>4.9078764129938848E-2</v>
      </c>
      <c r="P44" s="628">
        <f>SUM(P18:P42)</f>
        <v>1554795.4100000015</v>
      </c>
      <c r="Q44" s="629">
        <f>+R44/$D$44</f>
        <v>5.0832280505296097E-2</v>
      </c>
      <c r="R44" s="628">
        <f>SUM(R18:R42)</f>
        <v>1610346.1000000003</v>
      </c>
      <c r="S44" s="629">
        <f>+T44/$D$44</f>
        <v>5.0831624878244185E-2</v>
      </c>
      <c r="T44" s="628">
        <f>SUM(T18:T42)</f>
        <v>1610325.3300000003</v>
      </c>
      <c r="U44" s="629">
        <f>+V44/$D$44</f>
        <v>5.084934448563893E-2</v>
      </c>
      <c r="V44" s="628">
        <f>SUM(V18:V42)</f>
        <v>1610886.6800000004</v>
      </c>
      <c r="W44" s="629">
        <f>+X44/$D$44</f>
        <v>5.1961122243864025E-2</v>
      </c>
      <c r="X44" s="628">
        <f>SUM(X18:X42)</f>
        <v>1646107.3500000015</v>
      </c>
      <c r="Y44" s="629">
        <f>+Z44/$D$44</f>
        <v>4.100717377208455E-2</v>
      </c>
      <c r="Z44" s="628">
        <f>SUM(Z18:Z42)</f>
        <v>1299090.69</v>
      </c>
      <c r="AA44" s="629">
        <f>+AB44/$D$44</f>
        <v>4.6726576921792676E-2</v>
      </c>
      <c r="AB44" s="628">
        <f>SUM(AB18:AB42)</f>
        <v>1480279.0700000003</v>
      </c>
      <c r="AC44" s="629">
        <f>+AD44/$D$44</f>
        <v>4.5494756912270944E-2</v>
      </c>
      <c r="AD44" s="628">
        <f>SUM(AD18:AD42)</f>
        <v>1441255.5099999998</v>
      </c>
      <c r="AE44" s="629">
        <f>+AF44/$D$44</f>
        <v>4.4879387634106101E-2</v>
      </c>
      <c r="AF44" s="628">
        <f>SUM(AF18:AF42)</f>
        <v>1421760.8599999999</v>
      </c>
      <c r="AG44" s="629">
        <f>+AH44/$D$44</f>
        <v>4.4879387949766703E-2</v>
      </c>
      <c r="AH44" s="628">
        <f>SUM(AH18:AH42)</f>
        <v>1421760.87</v>
      </c>
      <c r="AI44" s="629">
        <f>+AJ44/$D$44</f>
        <v>4.3775366287975175E-2</v>
      </c>
      <c r="AJ44" s="628">
        <f>SUM(AJ18:AJ42)</f>
        <v>1386785.9100000001</v>
      </c>
      <c r="AK44" s="629">
        <f>+AL44/$D$44</f>
        <v>4.2669910264448503E-2</v>
      </c>
      <c r="AL44" s="628">
        <f>SUM(AL18:AL42)</f>
        <v>1351765.5099999998</v>
      </c>
      <c r="AM44" s="629">
        <f>+AN44/$D$44</f>
        <v>4.1983575750041614E-2</v>
      </c>
      <c r="AN44" s="628">
        <f>SUM(AN18:AN42)</f>
        <v>1330022.7100000004</v>
      </c>
      <c r="AO44" s="629">
        <f>+AP44/$D$44</f>
        <v>4.0279826108134881E-2</v>
      </c>
      <c r="AP44" s="628">
        <f>SUM(AP18:AP42)</f>
        <v>1276048.6100000003</v>
      </c>
      <c r="AQ44" s="629">
        <f>+AR44/$D$44</f>
        <v>2.9584694385526213E-2</v>
      </c>
      <c r="AR44" s="628">
        <f>SUM(AR18:AR42)</f>
        <v>937231.15999999992</v>
      </c>
      <c r="AS44" s="629">
        <f>+AT44/$D$44</f>
        <v>2.9584693754205034E-2</v>
      </c>
      <c r="AT44" s="628">
        <f>SUM(AT18:AT42)</f>
        <v>937231.14000000013</v>
      </c>
      <c r="AU44" s="629">
        <f>+AV44/$D$44</f>
        <v>4.2160093153713767E-2</v>
      </c>
      <c r="AV44" s="628">
        <f>SUM(AV18:AV42)</f>
        <v>1335614.7099999995</v>
      </c>
      <c r="AW44" s="629">
        <f>+AX44/$D$44</f>
        <v>2.8535128279635426E-2</v>
      </c>
      <c r="AX44" s="628">
        <f>SUM(AX18:AX42)</f>
        <v>903981.32999999984</v>
      </c>
      <c r="AY44" s="629">
        <f>+AZ44/$D$44</f>
        <v>2.76900313229375E-2</v>
      </c>
      <c r="AZ44" s="628">
        <f>SUM(AZ18:AZ42)</f>
        <v>877208.99999999942</v>
      </c>
      <c r="BA44" s="628">
        <f>SUM(BA18:BA42)</f>
        <v>31717005.480000012</v>
      </c>
      <c r="BC44" s="315">
        <f>SUM(BC19:BC42)</f>
        <v>-37409.680000002045</v>
      </c>
    </row>
    <row r="45" spans="1:57" ht="3" customHeight="1" x14ac:dyDescent="0.25">
      <c r="A45" s="316"/>
      <c r="B45" s="316"/>
      <c r="C45" s="317"/>
      <c r="D45" s="316"/>
      <c r="E45" s="317"/>
      <c r="F45" s="317"/>
      <c r="G45" s="317"/>
      <c r="H45" s="317"/>
      <c r="I45" s="317"/>
      <c r="J45" s="317"/>
      <c r="K45" s="317"/>
      <c r="L45" s="317"/>
      <c r="M45" s="317"/>
      <c r="N45" s="317"/>
      <c r="O45" s="317"/>
      <c r="P45" s="317"/>
      <c r="Q45" s="317"/>
      <c r="R45" s="317"/>
      <c r="S45" s="317"/>
      <c r="T45" s="317"/>
      <c r="U45" s="317"/>
      <c r="V45" s="317"/>
      <c r="W45" s="317"/>
      <c r="X45" s="317"/>
      <c r="Y45" s="317"/>
      <c r="Z45" s="317"/>
      <c r="AA45" s="317"/>
      <c r="AB45" s="317"/>
      <c r="AC45" s="317"/>
      <c r="AD45" s="317"/>
      <c r="AE45" s="317"/>
      <c r="AF45" s="317"/>
      <c r="AG45" s="317"/>
      <c r="AH45" s="317"/>
      <c r="AI45" s="317"/>
      <c r="AJ45" s="317"/>
      <c r="AK45" s="317"/>
      <c r="AL45" s="317"/>
      <c r="AM45" s="317"/>
      <c r="AN45" s="317"/>
      <c r="AO45" s="317"/>
      <c r="AP45" s="317"/>
      <c r="AQ45" s="317"/>
      <c r="AR45" s="317"/>
      <c r="AS45" s="317"/>
      <c r="AT45" s="317"/>
      <c r="AU45" s="317"/>
      <c r="AV45" s="317"/>
      <c r="AW45" s="317"/>
      <c r="AX45" s="317"/>
      <c r="AY45" s="317"/>
      <c r="AZ45" s="317"/>
      <c r="BA45" s="317"/>
      <c r="BB45" s="318"/>
    </row>
    <row r="46" spans="1:57" s="635" customFormat="1" ht="15" customHeight="1" x14ac:dyDescent="0.25">
      <c r="A46" s="630"/>
      <c r="B46" s="306" t="s">
        <v>2409</v>
      </c>
      <c r="C46" s="631">
        <f>D46/D48</f>
        <v>8.7689774920755845E-2</v>
      </c>
      <c r="D46" s="632">
        <f>SUM(Orçamento!I25:I25)</f>
        <v>3044991.22</v>
      </c>
      <c r="E46" s="631">
        <f>F46/$D$46</f>
        <v>3.6248443232978364E-2</v>
      </c>
      <c r="F46" s="633">
        <f>E44*$D$46</f>
        <v>110376.19138308754</v>
      </c>
      <c r="G46" s="631">
        <f>H46/$D$46</f>
        <v>4.3119482288344092E-2</v>
      </c>
      <c r="H46" s="633">
        <f>G44*$D$46</f>
        <v>131298.44497895328</v>
      </c>
      <c r="I46" s="631">
        <f>J46/$D$46</f>
        <v>3.474957878092623E-2</v>
      </c>
      <c r="J46" s="633">
        <f>I44*$D$46</f>
        <v>105812.16228661868</v>
      </c>
      <c r="K46" s="631">
        <f>L46/$D$46</f>
        <v>4.2129816567924756E-2</v>
      </c>
      <c r="L46" s="633">
        <f>K44*$D$46</f>
        <v>128284.92154954142</v>
      </c>
      <c r="M46" s="631">
        <f>N46/$D$46</f>
        <v>4.2129816567924756E-2</v>
      </c>
      <c r="N46" s="633">
        <f>M44*$D$46</f>
        <v>128284.92154954142</v>
      </c>
      <c r="O46" s="631">
        <f>P46/$D$46</f>
        <v>4.9078764129938855E-2</v>
      </c>
      <c r="P46" s="633">
        <f>O44*$D$46</f>
        <v>149444.40586411476</v>
      </c>
      <c r="Q46" s="631">
        <f>R46/$D$46</f>
        <v>5.083228050529609E-2</v>
      </c>
      <c r="R46" s="633">
        <f>Q44*$D$46</f>
        <v>154783.84783120378</v>
      </c>
      <c r="S46" s="631">
        <f>T46/$D$46</f>
        <v>5.0831624878244185E-2</v>
      </c>
      <c r="T46" s="633">
        <f>S44*$D$46</f>
        <v>154781.85145258711</v>
      </c>
      <c r="U46" s="631">
        <f>V46/$D$46</f>
        <v>5.084934448563893E-2</v>
      </c>
      <c r="V46" s="633">
        <f>U44*$D$46</f>
        <v>154835.80750152597</v>
      </c>
      <c r="W46" s="631">
        <f>X46/$D$46</f>
        <v>5.1961122243864025E-2</v>
      </c>
      <c r="X46" s="633">
        <f>W44*$D$46</f>
        <v>158221.16101391267</v>
      </c>
      <c r="Y46" s="631">
        <f>Z46/$D$46</f>
        <v>4.100717377208455E-2</v>
      </c>
      <c r="Z46" s="633">
        <f>Y44*$D$46</f>
        <v>124866.48409301175</v>
      </c>
      <c r="AA46" s="631">
        <f>AB46/$D$46</f>
        <v>4.6726576921792676E-2</v>
      </c>
      <c r="AB46" s="633">
        <f>AA44*$D$46</f>
        <v>142282.01646751334</v>
      </c>
      <c r="AC46" s="631">
        <f>AD46/$D$46</f>
        <v>4.5494756912270951E-2</v>
      </c>
      <c r="AD46" s="633">
        <f>AC44*$D$46</f>
        <v>138531.13535389936</v>
      </c>
      <c r="AE46" s="631">
        <f>AF46/$D$46</f>
        <v>4.4879387634106101E-2</v>
      </c>
      <c r="AF46" s="633">
        <f>AE44*$D$46</f>
        <v>136657.34130482966</v>
      </c>
      <c r="AG46" s="631">
        <f>AH46/$D$46</f>
        <v>4.4879387949766703E-2</v>
      </c>
      <c r="AH46" s="633">
        <f>AG44*$D$46</f>
        <v>136657.34226601341</v>
      </c>
      <c r="AI46" s="631">
        <f>AJ46/$D$46</f>
        <v>4.3775366287975175E-2</v>
      </c>
      <c r="AJ46" s="633">
        <f>AI44*$D$46</f>
        <v>133295.60599916842</v>
      </c>
      <c r="AK46" s="631">
        <f>AL46/$D$46</f>
        <v>4.2669910264448503E-2</v>
      </c>
      <c r="AL46" s="633">
        <f>AK44*$D$46</f>
        <v>129929.50211343358</v>
      </c>
      <c r="AM46" s="631">
        <f>AN46/$D$46</f>
        <v>4.1983575750041614E-2</v>
      </c>
      <c r="AN46" s="633">
        <f>AM44*$D$46</f>
        <v>127839.61954308164</v>
      </c>
      <c r="AO46" s="631">
        <f>AP46/$D$46</f>
        <v>4.0279826108134881E-2</v>
      </c>
      <c r="AP46" s="633">
        <f>AO44*$D$46</f>
        <v>122651.71684239749</v>
      </c>
      <c r="AQ46" s="631">
        <f>AR46/$D$46</f>
        <v>2.9584694385526213E-2</v>
      </c>
      <c r="AR46" s="633">
        <f>AQ44*$D$46</f>
        <v>90085.134650310618</v>
      </c>
      <c r="AS46" s="631">
        <f>AT46/$D$46</f>
        <v>2.9584693754205034E-2</v>
      </c>
      <c r="AT46" s="633">
        <f>AS44*$D$46</f>
        <v>90085.132727943172</v>
      </c>
      <c r="AU46" s="631">
        <f>AV46/$D$46</f>
        <v>4.2160093153713767E-2</v>
      </c>
      <c r="AV46" s="633">
        <f>AU44*$D$46</f>
        <v>128377.11348744054</v>
      </c>
      <c r="AW46" s="631">
        <f>AX46/$D$46</f>
        <v>2.8535128279635422E-2</v>
      </c>
      <c r="AX46" s="633">
        <f>AW44*$D$46</f>
        <v>86889.215073063577</v>
      </c>
      <c r="AY46" s="631">
        <f>AZ46/$D$46</f>
        <v>2.76900313229375E-2</v>
      </c>
      <c r="AZ46" s="633">
        <f>AY44*$D$46</f>
        <v>84315.902259869676</v>
      </c>
      <c r="BA46" s="307">
        <f>AZ46+AX46+AV46+AT46+AR46+AP46+AN46+AL46+AJ46+AH46+AF46+AD46+AB46+Z46+X46+V46+T46+R46+P46+N46+L46+J46+H46+F46</f>
        <v>3048586.9775930629</v>
      </c>
      <c r="BB46" s="634"/>
    </row>
    <row r="47" spans="1:57" ht="3" customHeight="1" x14ac:dyDescent="0.25">
      <c r="A47" s="316"/>
      <c r="B47" s="316"/>
      <c r="C47" s="317"/>
      <c r="D47" s="625"/>
      <c r="E47" s="317"/>
      <c r="F47" s="317"/>
      <c r="G47" s="317"/>
      <c r="H47" s="317"/>
      <c r="I47" s="317"/>
      <c r="J47" s="317"/>
      <c r="K47" s="317"/>
      <c r="L47" s="317"/>
      <c r="M47" s="317"/>
      <c r="N47" s="317"/>
      <c r="O47" s="317"/>
      <c r="P47" s="317"/>
      <c r="Q47" s="317"/>
      <c r="R47" s="317"/>
      <c r="S47" s="317"/>
      <c r="T47" s="317"/>
      <c r="U47" s="317"/>
      <c r="V47" s="317"/>
      <c r="W47" s="317"/>
      <c r="X47" s="317"/>
      <c r="Y47" s="317"/>
      <c r="Z47" s="317"/>
      <c r="AA47" s="317"/>
      <c r="AB47" s="317"/>
      <c r="AC47" s="317"/>
      <c r="AD47" s="317"/>
      <c r="AE47" s="317"/>
      <c r="AF47" s="317"/>
      <c r="AG47" s="317"/>
      <c r="AH47" s="317"/>
      <c r="AI47" s="317"/>
      <c r="AJ47" s="317"/>
      <c r="AK47" s="317"/>
      <c r="AL47" s="317"/>
      <c r="AM47" s="317"/>
      <c r="AN47" s="317"/>
      <c r="AO47" s="317"/>
      <c r="AP47" s="317"/>
      <c r="AQ47" s="317"/>
      <c r="AR47" s="317"/>
      <c r="AS47" s="317"/>
      <c r="AT47" s="317"/>
      <c r="AU47" s="317"/>
      <c r="AV47" s="317"/>
      <c r="AW47" s="317"/>
      <c r="AX47" s="317"/>
      <c r="AY47" s="317"/>
      <c r="AZ47" s="317"/>
      <c r="BA47" s="317"/>
      <c r="BB47" s="318"/>
    </row>
    <row r="48" spans="1:57" ht="15" customHeight="1" x14ac:dyDescent="0.25">
      <c r="A48" s="390"/>
      <c r="B48" s="390" t="s">
        <v>2410</v>
      </c>
      <c r="C48" s="391">
        <f>C44+C46</f>
        <v>1</v>
      </c>
      <c r="D48" s="478">
        <f>D44+D46</f>
        <v>34724587.020000003</v>
      </c>
      <c r="E48" s="479">
        <f>+F48/$D$48</f>
        <v>3.6248443232978364E-2</v>
      </c>
      <c r="F48" s="478">
        <f>F44+F46</f>
        <v>1258712.2213830876</v>
      </c>
      <c r="G48" s="479">
        <f>+H48/$D$48</f>
        <v>4.3119482288344092E-2</v>
      </c>
      <c r="H48" s="478">
        <f>H44+H46</f>
        <v>1497306.2149789534</v>
      </c>
      <c r="I48" s="479">
        <f>+J48/$D$48</f>
        <v>3.474957878092623E-2</v>
      </c>
      <c r="J48" s="478">
        <f>J44+J46</f>
        <v>1206664.7722866186</v>
      </c>
      <c r="K48" s="479">
        <f>+L48/$D$48</f>
        <v>4.2129816567924763E-2</v>
      </c>
      <c r="L48" s="478">
        <f>L44+L46</f>
        <v>1462940.4815495412</v>
      </c>
      <c r="M48" s="479">
        <f>+N48/$D$48</f>
        <v>4.2129816567924763E-2</v>
      </c>
      <c r="N48" s="478">
        <f>N44+N46</f>
        <v>1462940.4815495412</v>
      </c>
      <c r="O48" s="479">
        <f>+P48/$D$48</f>
        <v>4.9078764129938855E-2</v>
      </c>
      <c r="P48" s="478">
        <f>P44+P46</f>
        <v>1704239.8158641164</v>
      </c>
      <c r="Q48" s="479">
        <f>+R48/$D$48</f>
        <v>5.0832280505296097E-2</v>
      </c>
      <c r="R48" s="478">
        <f>R44+R46</f>
        <v>1765129.9478312042</v>
      </c>
      <c r="S48" s="479">
        <f>+T48/$D$48</f>
        <v>5.0831624878244192E-2</v>
      </c>
      <c r="T48" s="478">
        <f>T44+T46</f>
        <v>1765107.1814525875</v>
      </c>
      <c r="U48" s="479">
        <f>+V48/$D$48</f>
        <v>5.084934448563893E-2</v>
      </c>
      <c r="V48" s="478">
        <f>V44+V46</f>
        <v>1765722.4875015263</v>
      </c>
      <c r="W48" s="479">
        <f>+X48/$D$48</f>
        <v>5.1961122243864025E-2</v>
      </c>
      <c r="X48" s="478">
        <f>X44+X46</f>
        <v>1804328.5110139141</v>
      </c>
      <c r="Y48" s="479">
        <f>+Z48/$D$48</f>
        <v>4.100717377208455E-2</v>
      </c>
      <c r="Z48" s="478">
        <f>Z44+Z46</f>
        <v>1423957.1740930118</v>
      </c>
      <c r="AA48" s="479">
        <f>+AB48/$D$48</f>
        <v>4.6726576921792676E-2</v>
      </c>
      <c r="AB48" s="478">
        <f>AB44+AB46</f>
        <v>1622561.0864675136</v>
      </c>
      <c r="AC48" s="479">
        <f>+AD48/$D$48</f>
        <v>4.5494756912270944E-2</v>
      </c>
      <c r="AD48" s="478">
        <f>AD44+AD46</f>
        <v>1579786.6453538991</v>
      </c>
      <c r="AE48" s="479">
        <f>+AF48/$D$48</f>
        <v>4.4879387634106101E-2</v>
      </c>
      <c r="AF48" s="478">
        <f>AF44+AF46</f>
        <v>1558418.2013048294</v>
      </c>
      <c r="AG48" s="479">
        <f>+AH48/$D$48</f>
        <v>4.4879387949766703E-2</v>
      </c>
      <c r="AH48" s="478">
        <f>AH44+AH46</f>
        <v>1558418.2122660135</v>
      </c>
      <c r="AI48" s="479">
        <f>+AJ48/$D$48</f>
        <v>4.3775366287975181E-2</v>
      </c>
      <c r="AJ48" s="478">
        <f>AJ44+AJ46</f>
        <v>1520081.5159991686</v>
      </c>
      <c r="AK48" s="479">
        <f>+AL48/$D$48</f>
        <v>4.2669910264448503E-2</v>
      </c>
      <c r="AL48" s="478">
        <f>AL44+AL46</f>
        <v>1481695.0121134333</v>
      </c>
      <c r="AM48" s="479">
        <f>+AN48/$D$48</f>
        <v>4.1983575750041614E-2</v>
      </c>
      <c r="AN48" s="478">
        <f>AN44+AN46</f>
        <v>1457862.329543082</v>
      </c>
      <c r="AO48" s="479">
        <f>+AP48/$D$48</f>
        <v>4.0279826108134888E-2</v>
      </c>
      <c r="AP48" s="478">
        <f>AP44+AP46</f>
        <v>1398700.3268423979</v>
      </c>
      <c r="AQ48" s="479">
        <f>+AR48/$D$48</f>
        <v>2.9584694385526213E-2</v>
      </c>
      <c r="AR48" s="478">
        <f>AR44+AR46</f>
        <v>1027316.2946503105</v>
      </c>
      <c r="AS48" s="479">
        <f>+AT48/$D$48</f>
        <v>2.9584693754205034E-2</v>
      </c>
      <c r="AT48" s="478">
        <f>AT44+AT46</f>
        <v>1027316.2727279433</v>
      </c>
      <c r="AU48" s="479">
        <f>+AV48/$D$48</f>
        <v>4.2160093153713767E-2</v>
      </c>
      <c r="AV48" s="478">
        <f>AV44+AV46</f>
        <v>1463991.8234874401</v>
      </c>
      <c r="AW48" s="479">
        <f>+AX48/$D$48</f>
        <v>2.8535128279635429E-2</v>
      </c>
      <c r="AX48" s="478">
        <f>AX44+AX46</f>
        <v>990870.54507306346</v>
      </c>
      <c r="AY48" s="479">
        <f>+AZ48/$D$48</f>
        <v>2.76900313229375E-2</v>
      </c>
      <c r="AZ48" s="478">
        <f>AZ44+AZ46</f>
        <v>961524.90225986904</v>
      </c>
      <c r="BA48" s="478">
        <f>BA44+BA46</f>
        <v>34765592.457593076</v>
      </c>
      <c r="BB48" s="318"/>
    </row>
    <row r="49" spans="1:56" ht="3" customHeight="1" x14ac:dyDescent="0.25">
      <c r="A49" s="316"/>
      <c r="B49" s="316"/>
      <c r="C49" s="317"/>
      <c r="D49" s="316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7"/>
      <c r="BB49" s="318"/>
    </row>
    <row r="50" spans="1:56" ht="16.899999999999999" customHeight="1" x14ac:dyDescent="0.2">
      <c r="A50" s="390"/>
      <c r="B50" s="390" t="s">
        <v>2411</v>
      </c>
      <c r="C50" s="613">
        <f>C48</f>
        <v>1</v>
      </c>
      <c r="D50" s="478">
        <f>D48</f>
        <v>34724587.020000003</v>
      </c>
      <c r="E50" s="479">
        <f>E48</f>
        <v>3.6248443232978364E-2</v>
      </c>
      <c r="F50" s="478">
        <f>F48</f>
        <v>1258712.2213830876</v>
      </c>
      <c r="G50" s="479">
        <f>+H50/$D$50</f>
        <v>7.9367925521322463E-2</v>
      </c>
      <c r="H50" s="478">
        <f>H48+F50</f>
        <v>2756018.4363620412</v>
      </c>
      <c r="I50" s="479">
        <f>+J50/$D$50</f>
        <v>0.11411750430224871</v>
      </c>
      <c r="J50" s="478">
        <f>J48+H50</f>
        <v>3962683.2086486598</v>
      </c>
      <c r="K50" s="479">
        <f>+L50/$D$50</f>
        <v>0.15624732087017346</v>
      </c>
      <c r="L50" s="478">
        <f>L48+J50</f>
        <v>5425623.6901982008</v>
      </c>
      <c r="M50" s="479">
        <f>+N50/$D$50</f>
        <v>0.19837713743809823</v>
      </c>
      <c r="N50" s="478">
        <f>N48+L50</f>
        <v>6888564.1717477422</v>
      </c>
      <c r="O50" s="479">
        <f>+P50/$D$50</f>
        <v>0.24745590156803707</v>
      </c>
      <c r="P50" s="478">
        <f>P48+N50</f>
        <v>8592803.9876118582</v>
      </c>
      <c r="Q50" s="479">
        <f>+R50/$D$50</f>
        <v>0.29828818207333319</v>
      </c>
      <c r="R50" s="478">
        <f>R48+P50</f>
        <v>10357933.935443062</v>
      </c>
      <c r="S50" s="479">
        <f>+T50/$D$50</f>
        <v>0.34911980695157735</v>
      </c>
      <c r="T50" s="478">
        <f>T48+R50</f>
        <v>12123041.11689565</v>
      </c>
      <c r="U50" s="479">
        <f>+V50/$D$50</f>
        <v>0.39996915143721629</v>
      </c>
      <c r="V50" s="478">
        <f>V48+T50</f>
        <v>13888763.604397176</v>
      </c>
      <c r="W50" s="479">
        <f>+X50/$D$50</f>
        <v>0.4519302736810803</v>
      </c>
      <c r="X50" s="478">
        <f>X48+V50</f>
        <v>15693092.11541109</v>
      </c>
      <c r="Y50" s="479">
        <f>+Z50/$D$50</f>
        <v>0.49293744745316487</v>
      </c>
      <c r="Z50" s="478">
        <f>Z48+X50</f>
        <v>17117049.289504103</v>
      </c>
      <c r="AA50" s="479">
        <f>+AB50/$D$50</f>
        <v>0.53966402437495753</v>
      </c>
      <c r="AB50" s="478">
        <f>AB48+Z50</f>
        <v>18739610.375971615</v>
      </c>
      <c r="AC50" s="479">
        <f>+AD50/$D$50</f>
        <v>0.58515878128722842</v>
      </c>
      <c r="AD50" s="478">
        <f>AD48+AB50</f>
        <v>20319397.021325514</v>
      </c>
      <c r="AE50" s="479">
        <f>+AF50/$D$50</f>
        <v>0.63003816892133457</v>
      </c>
      <c r="AF50" s="478">
        <f>AF48+AD50</f>
        <v>21877815.222630344</v>
      </c>
      <c r="AG50" s="479">
        <f>+AH50/$D$50</f>
        <v>0.67491755687110122</v>
      </c>
      <c r="AH50" s="478">
        <f>AH48+AF50</f>
        <v>23436233.434896357</v>
      </c>
      <c r="AI50" s="479">
        <f>+AJ50/$D$50</f>
        <v>0.7186929231590764</v>
      </c>
      <c r="AJ50" s="478">
        <f>AJ48+AH50</f>
        <v>24956314.950895526</v>
      </c>
      <c r="AK50" s="479">
        <f>+AL50/$D$50</f>
        <v>0.76136283342352495</v>
      </c>
      <c r="AL50" s="478">
        <f>AL48+AJ50</f>
        <v>26438009.963008959</v>
      </c>
      <c r="AM50" s="479">
        <f>+AN50/$D$50</f>
        <v>0.80334640917356648</v>
      </c>
      <c r="AN50" s="478">
        <f>AN48+AL50</f>
        <v>27895872.292552039</v>
      </c>
      <c r="AO50" s="479">
        <f>+AP50/$D$50</f>
        <v>0.84362623528170133</v>
      </c>
      <c r="AP50" s="478">
        <f>AP48+AN50</f>
        <v>29294572.619394436</v>
      </c>
      <c r="AQ50" s="479">
        <f>+AR50/$D$50</f>
        <v>0.87321092966722758</v>
      </c>
      <c r="AR50" s="478">
        <f>AR48+AP50</f>
        <v>30321888.914044745</v>
      </c>
      <c r="AS50" s="479">
        <f>+AT50/$D$50</f>
        <v>0.9027956234214326</v>
      </c>
      <c r="AT50" s="478">
        <f>AT48+AR50</f>
        <v>31349205.186772689</v>
      </c>
      <c r="AU50" s="479">
        <f>+AV50/$D$50</f>
        <v>0.94495571657514632</v>
      </c>
      <c r="AV50" s="478">
        <f>AV48+AT50</f>
        <v>32813197.010260127</v>
      </c>
      <c r="AW50" s="479">
        <f>+AX50/$D$50</f>
        <v>0.97349084485478166</v>
      </c>
      <c r="AX50" s="478">
        <f>AX48+AV50</f>
        <v>33804067.55533319</v>
      </c>
      <c r="AY50" s="479">
        <f>+AZ50/$D$50</f>
        <v>1.0011808761777192</v>
      </c>
      <c r="AZ50" s="478">
        <f>AZ48+AX50</f>
        <v>34765592.457593061</v>
      </c>
      <c r="BA50" s="478">
        <f>BA48</f>
        <v>34765592.457593076</v>
      </c>
      <c r="BC50" s="315">
        <f>SUM(BC21:BC44)</f>
        <v>-41326.340000003605</v>
      </c>
    </row>
    <row r="51" spans="1:56" ht="13.5" x14ac:dyDescent="0.25">
      <c r="A51" s="316"/>
      <c r="B51" s="316"/>
      <c r="C51" s="317"/>
      <c r="D51" s="316"/>
      <c r="E51" s="317"/>
      <c r="F51" s="317"/>
      <c r="G51" s="317"/>
      <c r="H51" s="317"/>
      <c r="I51" s="317"/>
      <c r="J51" s="317"/>
      <c r="K51" s="317"/>
      <c r="L51" s="317"/>
      <c r="M51" s="317"/>
      <c r="N51" s="317"/>
      <c r="O51" s="317"/>
      <c r="P51" s="317"/>
      <c r="Q51" s="317"/>
      <c r="R51" s="317"/>
      <c r="S51" s="317"/>
      <c r="T51" s="317"/>
      <c r="U51" s="317"/>
      <c r="V51" s="317"/>
      <c r="W51" s="317"/>
      <c r="X51" s="317"/>
      <c r="Y51" s="317"/>
      <c r="Z51" s="317"/>
      <c r="AA51" s="317"/>
      <c r="AB51" s="317"/>
      <c r="AC51" s="317"/>
      <c r="AD51" s="317"/>
      <c r="AE51" s="317"/>
      <c r="AF51" s="317"/>
      <c r="AG51" s="317"/>
      <c r="AH51" s="317"/>
      <c r="AI51" s="317"/>
      <c r="AJ51" s="317"/>
      <c r="AK51" s="317"/>
      <c r="AL51" s="317"/>
      <c r="AM51" s="317"/>
      <c r="AN51" s="317"/>
      <c r="AO51" s="317"/>
      <c r="AP51" s="317"/>
      <c r="AQ51" s="317"/>
      <c r="AR51" s="317"/>
      <c r="AS51" s="317"/>
      <c r="AT51" s="317"/>
      <c r="AU51" s="317"/>
      <c r="AV51" s="317"/>
      <c r="AW51" s="317"/>
      <c r="AX51" s="317"/>
      <c r="AY51" s="317"/>
      <c r="AZ51" s="317"/>
      <c r="BA51" s="317"/>
      <c r="BB51" s="318"/>
    </row>
    <row r="52" spans="1:56" ht="13.5" x14ac:dyDescent="0.25">
      <c r="A52" s="316"/>
      <c r="B52" s="316"/>
      <c r="C52" s="317"/>
      <c r="D52" s="309"/>
      <c r="G52" s="317"/>
      <c r="H52" s="317"/>
      <c r="I52" s="317"/>
      <c r="J52" s="317"/>
      <c r="K52" s="317"/>
      <c r="L52" s="317"/>
      <c r="M52" s="317"/>
      <c r="N52" s="317"/>
      <c r="O52" s="317"/>
      <c r="P52" s="317"/>
      <c r="Q52" s="317"/>
      <c r="R52" s="319"/>
      <c r="S52" s="319"/>
      <c r="T52" s="319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7"/>
      <c r="BB52" s="318"/>
    </row>
    <row r="53" spans="1:56" s="284" customFormat="1" x14ac:dyDescent="0.2">
      <c r="A53" s="389" t="s">
        <v>2412</v>
      </c>
      <c r="B53" s="286"/>
      <c r="D53" s="320"/>
      <c r="BB53" s="285"/>
      <c r="BC53" s="286"/>
      <c r="BD53" s="286"/>
    </row>
    <row r="54" spans="1:56" s="284" customFormat="1" x14ac:dyDescent="0.2">
      <c r="A54" s="320"/>
      <c r="B54" s="286"/>
      <c r="D54" s="320"/>
      <c r="BB54" s="285"/>
      <c r="BC54" s="286"/>
      <c r="BD54" s="286"/>
    </row>
    <row r="55" spans="1:56" s="284" customFormat="1" x14ac:dyDescent="0.2">
      <c r="A55" s="320"/>
      <c r="B55" s="286"/>
      <c r="D55" s="320"/>
      <c r="BB55" s="285"/>
      <c r="BC55" s="286"/>
      <c r="BD55" s="286"/>
    </row>
    <row r="56" spans="1:56" s="284" customFormat="1" x14ac:dyDescent="0.2">
      <c r="A56" s="320"/>
      <c r="B56" s="286"/>
      <c r="D56" s="320"/>
      <c r="BB56" s="285"/>
      <c r="BC56" s="286"/>
      <c r="BD56" s="286"/>
    </row>
    <row r="57" spans="1:56" s="284" customFormat="1" x14ac:dyDescent="0.2">
      <c r="A57" s="320"/>
      <c r="B57" s="773" t="s">
        <v>2413</v>
      </c>
      <c r="C57" s="773"/>
      <c r="D57" s="773"/>
      <c r="BB57" s="285"/>
      <c r="BC57" s="286"/>
      <c r="BD57" s="286"/>
    </row>
    <row r="58" spans="1:56" s="284" customFormat="1" x14ac:dyDescent="0.2">
      <c r="A58" s="320"/>
      <c r="D58" s="320"/>
      <c r="BB58" s="285"/>
      <c r="BC58" s="286"/>
      <c r="BD58" s="286"/>
    </row>
    <row r="59" spans="1:56" s="284" customFormat="1" x14ac:dyDescent="0.2">
      <c r="A59" s="320"/>
      <c r="B59" s="285" t="s">
        <v>2414</v>
      </c>
      <c r="C59" s="548" t="s">
        <v>2415</v>
      </c>
      <c r="D59" s="320"/>
      <c r="I59" s="290"/>
      <c r="J59" s="290"/>
      <c r="K59" s="290"/>
      <c r="BB59" s="285"/>
      <c r="BC59" s="286"/>
      <c r="BD59" s="286"/>
    </row>
    <row r="60" spans="1:56" s="284" customFormat="1" x14ac:dyDescent="0.2">
      <c r="A60" s="320"/>
      <c r="B60" s="285"/>
      <c r="C60" s="548"/>
      <c r="D60" s="320"/>
      <c r="I60" s="290"/>
      <c r="J60" s="290"/>
      <c r="K60" s="290"/>
      <c r="BB60" s="285"/>
      <c r="BC60" s="286"/>
      <c r="BD60" s="286"/>
    </row>
    <row r="61" spans="1:56" s="284" customFormat="1" x14ac:dyDescent="0.2">
      <c r="A61" s="320"/>
      <c r="B61" s="555" t="s">
        <v>2416</v>
      </c>
      <c r="C61" s="556" t="s">
        <v>2407</v>
      </c>
      <c r="D61" s="555" t="s">
        <v>2417</v>
      </c>
      <c r="I61" s="290"/>
      <c r="J61" s="290"/>
      <c r="K61" s="290"/>
      <c r="BB61" s="285"/>
      <c r="BC61" s="286"/>
      <c r="BD61" s="286"/>
    </row>
    <row r="62" spans="1:56" s="284" customFormat="1" x14ac:dyDescent="0.2">
      <c r="A62" s="320"/>
      <c r="B62" s="554" t="s">
        <v>2418</v>
      </c>
      <c r="C62" s="551">
        <f>F48+H48+J48+L48+N48+P48+R48</f>
        <v>10357933.935443062</v>
      </c>
      <c r="D62" s="552">
        <f>C62/$C$65</f>
        <v>0.29828818207333319</v>
      </c>
      <c r="I62" s="290"/>
      <c r="J62" s="290"/>
      <c r="K62" s="290"/>
      <c r="BB62" s="285"/>
      <c r="BC62" s="286"/>
      <c r="BD62" s="286"/>
    </row>
    <row r="63" spans="1:56" s="284" customFormat="1" x14ac:dyDescent="0.2">
      <c r="A63" s="320"/>
      <c r="B63" s="554" t="s">
        <v>2419</v>
      </c>
      <c r="C63" s="551">
        <f>T48+V48+X48+Z48+AB48+AD48+AF48+AH48+AJ48+AL48+AN48+AP48</f>
        <v>18936638.683951374</v>
      </c>
      <c r="D63" s="552">
        <f>C63/$C$65</f>
        <v>0.54533805320836826</v>
      </c>
      <c r="I63" s="290"/>
      <c r="J63" s="290"/>
      <c r="K63" s="290"/>
      <c r="BB63" s="285"/>
      <c r="BC63" s="286"/>
      <c r="BD63" s="286"/>
    </row>
    <row r="64" spans="1:56" s="284" customFormat="1" x14ac:dyDescent="0.2">
      <c r="A64" s="320"/>
      <c r="B64" s="554" t="s">
        <v>2420</v>
      </c>
      <c r="C64" s="551">
        <f>D48-C62-C63</f>
        <v>5430014.4006055668</v>
      </c>
      <c r="D64" s="552">
        <f>C64/$C$65</f>
        <v>0.15637376471829861</v>
      </c>
      <c r="I64" s="290"/>
      <c r="J64" s="290"/>
      <c r="K64" s="290"/>
      <c r="BB64" s="285"/>
      <c r="BC64" s="286"/>
      <c r="BD64" s="286"/>
    </row>
    <row r="65" spans="1:56" s="284" customFormat="1" x14ac:dyDescent="0.2">
      <c r="A65" s="286"/>
      <c r="B65" s="555" t="s">
        <v>74</v>
      </c>
      <c r="C65" s="553">
        <f>SUM(C62:C64)</f>
        <v>34724587.020000003</v>
      </c>
      <c r="D65" s="614">
        <f>C65/$C$65</f>
        <v>1</v>
      </c>
      <c r="I65" s="290"/>
      <c r="J65" s="290"/>
      <c r="K65" s="290"/>
      <c r="BB65" s="285"/>
      <c r="BC65" s="286"/>
      <c r="BD65" s="286"/>
    </row>
    <row r="66" spans="1:56" s="284" customFormat="1" x14ac:dyDescent="0.2">
      <c r="A66" s="286"/>
      <c r="B66" s="285"/>
      <c r="D66" s="320"/>
      <c r="I66" s="290"/>
      <c r="J66" s="290"/>
      <c r="K66" s="290"/>
      <c r="BB66" s="285"/>
      <c r="BC66" s="286"/>
      <c r="BD66" s="286"/>
    </row>
    <row r="67" spans="1:56" s="284" customFormat="1" x14ac:dyDescent="0.2">
      <c r="A67" s="286"/>
      <c r="B67" s="285"/>
      <c r="D67" s="320"/>
      <c r="I67" s="290"/>
      <c r="J67" s="290"/>
      <c r="K67" s="290"/>
      <c r="BB67" s="285"/>
      <c r="BC67" s="286"/>
      <c r="BD67" s="286"/>
    </row>
    <row r="68" spans="1:56" s="284" customFormat="1" x14ac:dyDescent="0.2">
      <c r="A68" s="286"/>
      <c r="B68" s="286"/>
      <c r="D68" s="320"/>
      <c r="BB68" s="285"/>
      <c r="BC68" s="286"/>
      <c r="BD68" s="286"/>
    </row>
    <row r="69" spans="1:56" s="284" customFormat="1" x14ac:dyDescent="0.2">
      <c r="A69" s="286"/>
      <c r="B69" s="286"/>
      <c r="D69" s="320"/>
      <c r="BB69" s="285"/>
      <c r="BC69" s="286"/>
      <c r="BD69" s="286"/>
    </row>
    <row r="70" spans="1:56" s="284" customFormat="1" x14ac:dyDescent="0.2">
      <c r="A70" s="286"/>
      <c r="B70" s="286"/>
      <c r="D70" s="320"/>
      <c r="BB70" s="285"/>
      <c r="BC70" s="286"/>
      <c r="BD70" s="286"/>
    </row>
    <row r="71" spans="1:56" s="284" customFormat="1" x14ac:dyDescent="0.2">
      <c r="A71" s="286"/>
      <c r="B71" s="286"/>
      <c r="D71" s="320"/>
      <c r="BB71" s="285"/>
      <c r="BC71" s="286"/>
      <c r="BD71" s="286"/>
    </row>
    <row r="72" spans="1:56" s="284" customFormat="1" x14ac:dyDescent="0.2">
      <c r="A72" s="286"/>
      <c r="B72" s="286"/>
      <c r="D72" s="320"/>
      <c r="BB72" s="285"/>
      <c r="BC72" s="286"/>
      <c r="BD72" s="286"/>
    </row>
    <row r="73" spans="1:56" s="284" customFormat="1" x14ac:dyDescent="0.2">
      <c r="A73" s="286"/>
      <c r="B73" s="286"/>
      <c r="D73" s="320"/>
      <c r="BB73" s="285"/>
      <c r="BC73" s="286"/>
      <c r="BD73" s="286"/>
    </row>
  </sheetData>
  <mergeCells count="54">
    <mergeCell ref="A13:H13"/>
    <mergeCell ref="I13:P13"/>
    <mergeCell ref="AU10:AZ10"/>
    <mergeCell ref="A11:H11"/>
    <mergeCell ref="I11:P11"/>
    <mergeCell ref="A12:H12"/>
    <mergeCell ref="I12:P12"/>
    <mergeCell ref="BA15:BA16"/>
    <mergeCell ref="A15:A16"/>
    <mergeCell ref="B15:B16"/>
    <mergeCell ref="C15:C16"/>
    <mergeCell ref="D15:D16"/>
    <mergeCell ref="E15:F15"/>
    <mergeCell ref="G15:H15"/>
    <mergeCell ref="I15:J15"/>
    <mergeCell ref="K15:L15"/>
    <mergeCell ref="AA15:AB15"/>
    <mergeCell ref="AC15:AD15"/>
    <mergeCell ref="AE15:AF15"/>
    <mergeCell ref="AG15:AH15"/>
    <mergeCell ref="Q15:R15"/>
    <mergeCell ref="AY15:AZ15"/>
    <mergeCell ref="AM15:AN15"/>
    <mergeCell ref="AO15:AP15"/>
    <mergeCell ref="AQ15:AR15"/>
    <mergeCell ref="AS15:AT15"/>
    <mergeCell ref="AU15:AV15"/>
    <mergeCell ref="AW15:AX15"/>
    <mergeCell ref="AU2:BA3"/>
    <mergeCell ref="AU4:BA5"/>
    <mergeCell ref="AU6:BA7"/>
    <mergeCell ref="AU9:BA9"/>
    <mergeCell ref="A2:D7"/>
    <mergeCell ref="E9:R9"/>
    <mergeCell ref="E2:R3"/>
    <mergeCell ref="E4:R5"/>
    <mergeCell ref="E6:R7"/>
    <mergeCell ref="S2:AF3"/>
    <mergeCell ref="B57:D57"/>
    <mergeCell ref="S4:AF5"/>
    <mergeCell ref="S6:AF7"/>
    <mergeCell ref="S9:AF9"/>
    <mergeCell ref="AM2:AT3"/>
    <mergeCell ref="AM4:AT5"/>
    <mergeCell ref="AM6:AT7"/>
    <mergeCell ref="W15:X15"/>
    <mergeCell ref="Y15:Z15"/>
    <mergeCell ref="AM9:AT9"/>
    <mergeCell ref="M15:N15"/>
    <mergeCell ref="AI15:AJ15"/>
    <mergeCell ref="AK15:AL15"/>
    <mergeCell ref="O15:P15"/>
    <mergeCell ref="S15:T15"/>
    <mergeCell ref="U15:V15"/>
  </mergeCells>
  <pageMargins left="0.51181102362204722" right="0.31" top="0.78740157480314965" bottom="0.78740157480314965" header="0.31496062992125984" footer="0.31496062992125984"/>
  <pageSetup paperSize="9" scale="57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3:X118"/>
  <sheetViews>
    <sheetView view="pageBreakPreview" topLeftCell="B16" zoomScale="80" zoomScaleNormal="90" zoomScaleSheetLayoutView="80" workbookViewId="0">
      <selection activeCell="G38" sqref="G38"/>
    </sheetView>
  </sheetViews>
  <sheetFormatPr defaultRowHeight="15.75" x14ac:dyDescent="0.25"/>
  <cols>
    <col min="2" max="2" width="35.125" customWidth="1"/>
    <col min="3" max="3" width="16.25" customWidth="1"/>
    <col min="5" max="5" width="17.125" customWidth="1"/>
    <col min="7" max="7" width="14.875" customWidth="1"/>
    <col min="8" max="9" width="1.625" customWidth="1"/>
    <col min="13" max="13" width="7.25" customWidth="1"/>
  </cols>
  <sheetData>
    <row r="3" spans="1:24" ht="15" customHeight="1" x14ac:dyDescent="0.25">
      <c r="B3" s="480"/>
      <c r="C3" s="481"/>
      <c r="D3" s="821" t="s">
        <v>2421</v>
      </c>
      <c r="E3" s="822"/>
      <c r="F3" s="822"/>
      <c r="G3" s="823"/>
      <c r="H3" s="482"/>
      <c r="I3" s="482"/>
      <c r="J3" s="482"/>
      <c r="K3" s="482"/>
      <c r="L3" s="482"/>
    </row>
    <row r="4" spans="1:24" ht="15" customHeight="1" x14ac:dyDescent="0.25">
      <c r="B4" s="483"/>
      <c r="C4" s="484"/>
      <c r="D4" s="824"/>
      <c r="E4" s="825"/>
      <c r="F4" s="825"/>
      <c r="G4" s="826"/>
      <c r="H4" s="482"/>
      <c r="I4" s="482"/>
      <c r="J4" s="482"/>
      <c r="K4" s="482"/>
      <c r="L4" s="482"/>
    </row>
    <row r="5" spans="1:24" ht="15" customHeight="1" x14ac:dyDescent="0.25">
      <c r="B5" s="483"/>
      <c r="C5" s="484"/>
      <c r="D5" s="827" t="s">
        <v>296</v>
      </c>
      <c r="E5" s="828"/>
      <c r="F5" s="828"/>
      <c r="G5" s="829"/>
      <c r="H5" s="825"/>
      <c r="I5" s="825"/>
      <c r="J5" s="825"/>
      <c r="K5" s="825"/>
      <c r="L5" s="825"/>
    </row>
    <row r="6" spans="1:24" ht="15" customHeight="1" x14ac:dyDescent="0.25">
      <c r="B6" s="483"/>
      <c r="C6" s="484"/>
      <c r="D6" s="830"/>
      <c r="E6" s="831"/>
      <c r="F6" s="831"/>
      <c r="G6" s="832"/>
      <c r="H6" s="825"/>
      <c r="I6" s="825"/>
      <c r="J6" s="825"/>
      <c r="K6" s="825"/>
      <c r="L6" s="825"/>
    </row>
    <row r="7" spans="1:24" ht="15" customHeight="1" x14ac:dyDescent="0.25">
      <c r="B7" s="483"/>
      <c r="C7" s="484"/>
      <c r="D7" s="833" t="s">
        <v>2422</v>
      </c>
      <c r="E7" s="834"/>
      <c r="F7" s="834"/>
      <c r="G7" s="835"/>
      <c r="H7" s="825"/>
      <c r="I7" s="825"/>
      <c r="J7" s="825"/>
      <c r="K7" s="825"/>
      <c r="L7" s="825"/>
    </row>
    <row r="8" spans="1:24" ht="15" customHeight="1" x14ac:dyDescent="0.25">
      <c r="B8" s="485"/>
      <c r="C8" s="486"/>
      <c r="D8" s="836"/>
      <c r="E8" s="837"/>
      <c r="F8" s="837"/>
      <c r="G8" s="838"/>
      <c r="H8" s="825"/>
      <c r="I8" s="825"/>
      <c r="J8" s="825"/>
      <c r="K8" s="825"/>
      <c r="L8" s="825"/>
    </row>
    <row r="9" spans="1:24" ht="5.0999999999999996" customHeight="1" x14ac:dyDescent="0.25">
      <c r="B9" s="487"/>
      <c r="C9" s="488"/>
      <c r="D9" s="488"/>
      <c r="E9" s="488"/>
      <c r="F9" s="487"/>
      <c r="G9" s="489"/>
      <c r="H9" s="490"/>
      <c r="I9" s="489"/>
      <c r="J9" s="489"/>
      <c r="K9" s="491"/>
      <c r="L9" s="492"/>
    </row>
    <row r="10" spans="1:24" ht="24" customHeight="1" x14ac:dyDescent="0.25">
      <c r="B10" s="842" t="s">
        <v>2423</v>
      </c>
      <c r="C10" s="843"/>
      <c r="D10" s="844" t="s">
        <v>2424</v>
      </c>
      <c r="E10" s="845"/>
      <c r="F10" s="845"/>
      <c r="G10" s="845"/>
      <c r="H10" s="493"/>
      <c r="I10" s="493"/>
      <c r="J10" s="493"/>
      <c r="K10" s="493"/>
      <c r="L10" s="493"/>
    </row>
    <row r="11" spans="1:24" ht="18" customHeight="1" x14ac:dyDescent="0.25">
      <c r="B11" s="842" t="s">
        <v>2425</v>
      </c>
      <c r="C11" s="843"/>
      <c r="D11" s="846" t="s">
        <v>2426</v>
      </c>
      <c r="E11" s="846"/>
      <c r="F11" s="846"/>
      <c r="G11" s="846"/>
      <c r="H11" s="494"/>
      <c r="I11" s="494"/>
      <c r="J11" s="493"/>
      <c r="K11" s="493"/>
      <c r="L11" s="493"/>
    </row>
    <row r="12" spans="1:24" ht="5.0999999999999996" customHeight="1" thickBot="1" x14ac:dyDescent="0.3">
      <c r="B12" s="847"/>
      <c r="C12" s="848"/>
      <c r="D12" s="650"/>
      <c r="E12" s="650"/>
      <c r="F12" s="649"/>
      <c r="G12" s="495"/>
      <c r="H12" s="496"/>
      <c r="I12" s="495"/>
      <c r="J12" s="494"/>
      <c r="K12" s="494"/>
      <c r="L12" s="494"/>
    </row>
    <row r="13" spans="1:24" ht="18.75" thickBot="1" x14ac:dyDescent="0.3">
      <c r="B13" s="839" t="s">
        <v>2427</v>
      </c>
      <c r="C13" s="840"/>
      <c r="D13" s="840"/>
      <c r="E13" s="840"/>
      <c r="F13" s="840"/>
      <c r="G13" s="841"/>
      <c r="H13" s="494"/>
      <c r="I13" s="494"/>
      <c r="J13" s="818" t="s">
        <v>3465</v>
      </c>
      <c r="K13" s="819"/>
      <c r="L13" s="820"/>
    </row>
    <row r="14" spans="1:24" ht="5.0999999999999996" customHeight="1" x14ac:dyDescent="0.25">
      <c r="B14" s="497"/>
      <c r="C14" s="498"/>
      <c r="D14" s="498"/>
      <c r="E14" s="498"/>
      <c r="F14" s="499"/>
      <c r="G14" s="500"/>
      <c r="H14" s="501"/>
      <c r="I14" s="500"/>
      <c r="K14" s="697"/>
      <c r="L14" s="697"/>
    </row>
    <row r="15" spans="1:24" ht="16.5" customHeight="1" thickBot="1" x14ac:dyDescent="0.3">
      <c r="A15" s="1"/>
      <c r="B15" s="813" t="s">
        <v>2428</v>
      </c>
      <c r="C15" s="813"/>
      <c r="D15" s="814" t="s">
        <v>2429</v>
      </c>
      <c r="E15" s="814"/>
      <c r="F15" s="814"/>
      <c r="G15" s="814"/>
      <c r="H15" s="693"/>
      <c r="I15" s="1"/>
      <c r="J15" s="698" t="s">
        <v>3466</v>
      </c>
      <c r="K15" s="698" t="s">
        <v>3467</v>
      </c>
      <c r="L15" s="698" t="s">
        <v>3468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6.5" customHeight="1" x14ac:dyDescent="0.25">
      <c r="A16" s="1"/>
      <c r="B16" s="810" t="s">
        <v>3457</v>
      </c>
      <c r="C16" s="810"/>
      <c r="D16" s="807">
        <v>3.5</v>
      </c>
      <c r="E16" s="807"/>
      <c r="F16" s="807"/>
      <c r="G16" s="807"/>
      <c r="I16" s="1"/>
      <c r="J16" s="695">
        <v>0.03</v>
      </c>
      <c r="K16" s="695">
        <v>0.04</v>
      </c>
      <c r="L16" s="695">
        <v>5.5E-2</v>
      </c>
      <c r="M16" s="1"/>
      <c r="N16" s="694">
        <f>D16/100</f>
        <v>3.5000000000000003E-2</v>
      </c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6.5" customHeight="1" x14ac:dyDescent="0.25">
      <c r="A17" s="1"/>
      <c r="B17" s="810" t="s">
        <v>3458</v>
      </c>
      <c r="C17" s="810"/>
      <c r="D17" s="807">
        <v>0.8</v>
      </c>
      <c r="E17" s="807"/>
      <c r="F17" s="807"/>
      <c r="G17" s="807"/>
      <c r="I17" s="1"/>
      <c r="J17" s="696">
        <v>8.0000000000000002E-3</v>
      </c>
      <c r="K17" s="696">
        <v>8.0000000000000002E-3</v>
      </c>
      <c r="L17" s="696">
        <v>0.01</v>
      </c>
      <c r="M17" s="1"/>
      <c r="N17" s="694">
        <f>D17/100</f>
        <v>8.0000000000000002E-3</v>
      </c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6.5" customHeight="1" x14ac:dyDescent="0.25">
      <c r="A18" s="1"/>
      <c r="B18" s="810" t="s">
        <v>3459</v>
      </c>
      <c r="C18" s="810"/>
      <c r="D18" s="807">
        <v>0.97</v>
      </c>
      <c r="E18" s="807"/>
      <c r="F18" s="807"/>
      <c r="G18" s="807"/>
      <c r="I18" s="1"/>
      <c r="J18" s="696">
        <v>9.7000000000000003E-3</v>
      </c>
      <c r="K18" s="696">
        <v>1.2699999999999999E-2</v>
      </c>
      <c r="L18" s="696">
        <v>1.2699999999999999E-2</v>
      </c>
      <c r="M18" s="1"/>
      <c r="N18" s="694">
        <f>D18/100</f>
        <v>9.7000000000000003E-3</v>
      </c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6.5" customHeight="1" x14ac:dyDescent="0.25">
      <c r="A19" s="1"/>
      <c r="B19" s="810" t="s">
        <v>3460</v>
      </c>
      <c r="C19" s="810"/>
      <c r="D19" s="807">
        <v>0.59</v>
      </c>
      <c r="E19" s="807"/>
      <c r="F19" s="807"/>
      <c r="G19" s="807"/>
      <c r="I19" s="1"/>
      <c r="J19" s="696">
        <v>5.8999999999999999E-3</v>
      </c>
      <c r="K19" s="696">
        <v>1.23E-2</v>
      </c>
      <c r="L19" s="696">
        <v>1.3899999999999999E-2</v>
      </c>
      <c r="M19" s="1"/>
      <c r="N19" s="694">
        <f>D19/100</f>
        <v>5.8999999999999999E-3</v>
      </c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x14ac:dyDescent="0.25">
      <c r="A20" s="1"/>
      <c r="B20" s="810" t="s">
        <v>3461</v>
      </c>
      <c r="C20" s="810"/>
      <c r="D20" s="807">
        <v>6.24</v>
      </c>
      <c r="E20" s="807"/>
      <c r="F20" s="807"/>
      <c r="G20" s="807"/>
      <c r="I20" s="1"/>
      <c r="J20" s="696">
        <v>6.1600000000000002E-2</v>
      </c>
      <c r="K20" s="696">
        <v>7.3999999999999996E-2</v>
      </c>
      <c r="L20" s="696">
        <v>8.9599999999999999E-2</v>
      </c>
      <c r="M20" s="1"/>
      <c r="N20" s="694">
        <f>D20/100</f>
        <v>6.2400000000000004E-2</v>
      </c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6.5" thickBot="1" x14ac:dyDescent="0.3">
      <c r="A21" s="1"/>
      <c r="B21" s="810" t="s">
        <v>3462</v>
      </c>
      <c r="C21" s="810"/>
      <c r="D21" s="807">
        <f>SUM(D22:G25)</f>
        <v>9.9499999999999993</v>
      </c>
      <c r="E21" s="807"/>
      <c r="F21" s="807"/>
      <c r="G21" s="807"/>
      <c r="I21" s="1"/>
      <c r="J21" s="815" t="s">
        <v>3469</v>
      </c>
      <c r="K21" s="816"/>
      <c r="L21" s="817"/>
      <c r="M21" s="1"/>
      <c r="N21" s="694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x14ac:dyDescent="0.25">
      <c r="A22" s="1"/>
      <c r="B22" s="808" t="s">
        <v>3463</v>
      </c>
      <c r="C22" s="808"/>
      <c r="D22" s="809">
        <v>1.8</v>
      </c>
      <c r="E22" s="809"/>
      <c r="F22" s="809"/>
      <c r="G22" s="809"/>
      <c r="I22" s="1"/>
      <c r="M22" s="1"/>
      <c r="N22" s="694">
        <f>D22/100</f>
        <v>1.8000000000000002E-2</v>
      </c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x14ac:dyDescent="0.25">
      <c r="A23" s="1"/>
      <c r="B23" s="808" t="s">
        <v>3464</v>
      </c>
      <c r="C23" s="808"/>
      <c r="D23" s="809">
        <v>0.65</v>
      </c>
      <c r="E23" s="809"/>
      <c r="F23" s="809"/>
      <c r="G23" s="809"/>
      <c r="I23" s="1"/>
      <c r="M23" s="1"/>
      <c r="N23" s="694">
        <f>D23/100</f>
        <v>6.5000000000000006E-3</v>
      </c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x14ac:dyDescent="0.25">
      <c r="A24" s="1"/>
      <c r="B24" s="808" t="s">
        <v>3470</v>
      </c>
      <c r="C24" s="808"/>
      <c r="D24" s="809">
        <v>3</v>
      </c>
      <c r="E24" s="809"/>
      <c r="F24" s="809"/>
      <c r="G24" s="809"/>
      <c r="I24" s="1"/>
      <c r="M24" s="1"/>
      <c r="N24" s="694">
        <f>D24/100</f>
        <v>0.03</v>
      </c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x14ac:dyDescent="0.25">
      <c r="A25" s="1"/>
      <c r="B25" s="808" t="s">
        <v>3471</v>
      </c>
      <c r="C25" s="808"/>
      <c r="D25" s="809">
        <v>4.5</v>
      </c>
      <c r="E25" s="809"/>
      <c r="F25" s="809"/>
      <c r="G25" s="809"/>
      <c r="I25" s="1"/>
      <c r="M25" s="1"/>
      <c r="N25" s="694">
        <f>D25/100</f>
        <v>4.4999999999999998E-2</v>
      </c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8.75" x14ac:dyDescent="0.3">
      <c r="A26" s="1"/>
      <c r="B26" s="502"/>
      <c r="C26" s="811"/>
      <c r="D26" s="811"/>
      <c r="E26" s="811"/>
      <c r="F26" s="505"/>
      <c r="G26" s="505"/>
      <c r="H26" s="50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8.75" x14ac:dyDescent="0.3">
      <c r="A27" s="1"/>
      <c r="B27" s="502"/>
      <c r="C27" s="503"/>
      <c r="D27" s="504"/>
      <c r="E27" s="505"/>
      <c r="F27" s="505"/>
      <c r="G27" s="505"/>
      <c r="H27" s="50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8.75" x14ac:dyDescent="0.3">
      <c r="A28" s="1"/>
      <c r="B28" s="502"/>
      <c r="C28" s="503"/>
      <c r="D28" s="504"/>
      <c r="E28" s="505"/>
      <c r="F28" s="505"/>
      <c r="G28" s="505"/>
      <c r="H28" s="50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8.75" x14ac:dyDescent="0.3">
      <c r="A29" s="1"/>
      <c r="B29" s="506"/>
      <c r="C29" s="507"/>
      <c r="D29" s="504"/>
      <c r="E29" s="505"/>
      <c r="F29" s="505"/>
      <c r="G29" s="505"/>
      <c r="H29" s="50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8.75" x14ac:dyDescent="0.3">
      <c r="A30" s="1"/>
      <c r="B30" s="506"/>
      <c r="C30" s="507"/>
      <c r="D30" s="504"/>
      <c r="E30" s="505"/>
      <c r="F30" s="505"/>
      <c r="G30" s="505"/>
      <c r="H30" s="50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8.75" x14ac:dyDescent="0.3">
      <c r="A31" s="1"/>
      <c r="B31" s="506"/>
      <c r="C31" s="507"/>
      <c r="D31" s="504"/>
      <c r="E31" s="505"/>
      <c r="F31" s="505"/>
      <c r="G31" s="505"/>
      <c r="H31" s="508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8.75" x14ac:dyDescent="0.3">
      <c r="A32" s="1"/>
      <c r="B32" s="509"/>
      <c r="C32" s="510"/>
      <c r="D32" s="505"/>
      <c r="E32" s="505"/>
      <c r="F32" s="505"/>
      <c r="G32" s="505"/>
      <c r="H32" s="50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8.75" x14ac:dyDescent="0.3">
      <c r="A33" s="1"/>
      <c r="B33" s="509"/>
      <c r="C33" s="510"/>
      <c r="D33" s="505"/>
      <c r="E33" s="505"/>
      <c r="F33" s="505"/>
      <c r="G33" s="505"/>
      <c r="H33" s="50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8.75" x14ac:dyDescent="0.3">
      <c r="A34" s="1"/>
      <c r="B34" s="509"/>
      <c r="C34" s="510"/>
      <c r="D34" s="505"/>
      <c r="E34" s="505"/>
      <c r="F34" s="505"/>
      <c r="G34" s="505"/>
      <c r="H34" s="508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8.75" x14ac:dyDescent="0.3">
      <c r="A35" s="1"/>
      <c r="B35" s="509"/>
      <c r="C35" s="510"/>
      <c r="D35" s="505"/>
      <c r="E35" s="505"/>
      <c r="F35" s="505"/>
      <c r="G35" s="505"/>
      <c r="H35" s="508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8.75" x14ac:dyDescent="0.3">
      <c r="A36" s="1"/>
      <c r="B36" s="509"/>
      <c r="C36" s="510"/>
      <c r="D36" s="505"/>
      <c r="E36" s="505"/>
      <c r="F36" s="505"/>
      <c r="G36" s="505"/>
      <c r="H36" s="508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8.75" x14ac:dyDescent="0.3">
      <c r="A37" s="1"/>
      <c r="B37" s="509"/>
      <c r="C37" s="510"/>
      <c r="D37" s="505"/>
      <c r="E37" s="505"/>
      <c r="F37" s="505"/>
      <c r="G37" s="505"/>
      <c r="H37" s="508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8.75" x14ac:dyDescent="0.3">
      <c r="A38" s="1"/>
      <c r="B38" s="509"/>
      <c r="C38" s="510"/>
      <c r="D38" s="505"/>
      <c r="E38" s="505"/>
      <c r="F38" s="505"/>
      <c r="G38" s="505"/>
      <c r="H38" s="508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8.75" x14ac:dyDescent="0.3">
      <c r="A39" s="1"/>
      <c r="B39" s="511" t="s">
        <v>2430</v>
      </c>
      <c r="C39" s="512">
        <f>(D16+D17+D18)</f>
        <v>5.27</v>
      </c>
      <c r="D39" s="505"/>
      <c r="E39" s="505"/>
      <c r="F39" s="505"/>
      <c r="G39" s="505"/>
      <c r="H39" s="508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8.75" x14ac:dyDescent="0.3">
      <c r="A40" s="1"/>
      <c r="B40" s="511" t="s">
        <v>2431</v>
      </c>
      <c r="C40" s="512">
        <f>D19</f>
        <v>0.59</v>
      </c>
      <c r="D40" s="505"/>
      <c r="E40" s="505"/>
      <c r="F40" s="505"/>
      <c r="G40" s="505"/>
      <c r="H40" s="508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8.75" x14ac:dyDescent="0.3">
      <c r="A41" s="1"/>
      <c r="B41" s="511" t="s">
        <v>2432</v>
      </c>
      <c r="C41" s="512">
        <f>D20</f>
        <v>6.24</v>
      </c>
      <c r="D41" s="505"/>
      <c r="E41" s="505"/>
      <c r="F41" s="505"/>
      <c r="G41" s="505"/>
      <c r="H41" s="50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8.75" x14ac:dyDescent="0.3">
      <c r="A42" s="1"/>
      <c r="B42" s="511" t="s">
        <v>2433</v>
      </c>
      <c r="C42" s="512">
        <f>(D22+D23+D25+D24)</f>
        <v>9.9499999999999993</v>
      </c>
      <c r="D42" s="505"/>
      <c r="E42" s="505"/>
      <c r="F42" s="505"/>
      <c r="G42" s="505"/>
      <c r="H42" s="50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8.75" x14ac:dyDescent="0.3">
      <c r="A43" s="1"/>
      <c r="B43" s="505" t="s">
        <v>2434</v>
      </c>
      <c r="C43" s="505"/>
      <c r="D43" s="505"/>
      <c r="E43" s="505"/>
      <c r="F43" s="505"/>
      <c r="G43" s="505"/>
      <c r="H43" s="508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9.5" thickBot="1" x14ac:dyDescent="0.35">
      <c r="A44" s="1"/>
      <c r="B44" s="505"/>
      <c r="C44" s="505"/>
      <c r="D44" s="505"/>
      <c r="E44" s="505"/>
      <c r="F44" s="505"/>
      <c r="G44" s="505"/>
      <c r="H44" s="508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9.5" thickBot="1" x14ac:dyDescent="0.35">
      <c r="A45" s="1"/>
      <c r="B45" s="513"/>
      <c r="C45" s="514" t="s">
        <v>2435</v>
      </c>
      <c r="D45" s="515">
        <f>ROUND((((((1+N16+N17+N18)*(1+N19)*(1+N20))/(1-(N22+N23+N25+N24)))-1))*100,2)</f>
        <v>24.93</v>
      </c>
      <c r="E45" s="516"/>
      <c r="F45" s="516"/>
      <c r="G45" s="517"/>
      <c r="H45" s="508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8.75" x14ac:dyDescent="0.3">
      <c r="A46" s="1"/>
      <c r="B46" s="505"/>
      <c r="C46" s="505"/>
      <c r="D46" s="505"/>
      <c r="E46" s="505"/>
      <c r="F46" s="505"/>
      <c r="G46" s="505"/>
      <c r="H46" s="508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8.75" x14ac:dyDescent="0.3">
      <c r="A47" s="1"/>
      <c r="B47" s="505"/>
      <c r="C47" s="505"/>
      <c r="D47" s="505"/>
      <c r="E47" s="505"/>
      <c r="F47" s="505"/>
      <c r="G47" s="505"/>
      <c r="H47" s="508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8.75" x14ac:dyDescent="0.3">
      <c r="A48" s="1"/>
      <c r="B48" s="505"/>
      <c r="C48" s="505"/>
      <c r="D48" s="505"/>
      <c r="E48" s="505"/>
      <c r="F48" s="505"/>
      <c r="G48" s="505"/>
      <c r="H48" s="508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8.75" x14ac:dyDescent="0.3">
      <c r="A49" s="1"/>
      <c r="B49" s="812" t="str">
        <f>Cronograma!A53</f>
        <v>Teresina(PI), 07 de abril de 2017</v>
      </c>
      <c r="C49" s="812"/>
      <c r="D49" s="505"/>
      <c r="E49" s="505"/>
      <c r="F49" s="505"/>
      <c r="G49" s="505"/>
      <c r="H49" s="508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8.75" x14ac:dyDescent="0.3">
      <c r="A50" s="1"/>
      <c r="B50" s="505"/>
      <c r="C50" s="505"/>
      <c r="D50" s="505"/>
      <c r="E50" s="505"/>
      <c r="F50" s="505"/>
      <c r="G50" s="505"/>
      <c r="H50" s="508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8.75" x14ac:dyDescent="0.3">
      <c r="A51" s="1"/>
      <c r="B51" s="505"/>
      <c r="C51" s="505"/>
      <c r="D51" s="505"/>
      <c r="E51" s="505"/>
      <c r="F51" s="505"/>
      <c r="G51" s="505"/>
      <c r="H51" s="508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8.75" x14ac:dyDescent="0.3">
      <c r="A52" s="1"/>
      <c r="B52" s="505"/>
      <c r="C52" s="505"/>
      <c r="D52" s="505"/>
      <c r="E52" s="505"/>
      <c r="F52" s="505"/>
      <c r="G52" s="505"/>
      <c r="H52" s="508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8.75" x14ac:dyDescent="0.3">
      <c r="A53" s="1"/>
      <c r="B53" s="505"/>
      <c r="C53" s="505"/>
      <c r="D53" s="505"/>
      <c r="E53" s="505"/>
      <c r="F53" s="505"/>
      <c r="G53" s="505"/>
      <c r="H53" s="508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8.75" x14ac:dyDescent="0.3">
      <c r="A54" s="1"/>
      <c r="B54" s="505"/>
      <c r="C54" s="505"/>
      <c r="D54" s="505"/>
      <c r="E54" s="505"/>
      <c r="F54" s="505"/>
      <c r="G54" s="505"/>
      <c r="H54" s="508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8.75" x14ac:dyDescent="0.3">
      <c r="A55" s="1"/>
      <c r="B55" s="505"/>
      <c r="C55" s="505"/>
      <c r="D55" s="505"/>
      <c r="E55" s="505"/>
      <c r="F55" s="505"/>
      <c r="G55" s="505"/>
      <c r="H55" s="508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8.75" x14ac:dyDescent="0.3">
      <c r="A56" s="1"/>
      <c r="B56" s="1"/>
      <c r="C56" s="1"/>
      <c r="D56" s="1"/>
      <c r="E56" s="1"/>
      <c r="F56" s="1"/>
      <c r="G56" s="1"/>
      <c r="H56" s="508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8.75" x14ac:dyDescent="0.3">
      <c r="A57" s="1"/>
      <c r="B57" s="1"/>
      <c r="C57" s="1"/>
      <c r="D57" s="1"/>
      <c r="E57" s="1"/>
      <c r="F57" s="1"/>
      <c r="G57" s="1"/>
      <c r="H57" s="508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8.75" x14ac:dyDescent="0.3">
      <c r="A58" s="1"/>
      <c r="B58" s="1"/>
      <c r="C58" s="1"/>
      <c r="D58" s="1"/>
      <c r="E58" s="1"/>
      <c r="F58" s="1"/>
      <c r="G58" s="1"/>
      <c r="H58" s="508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8.75" x14ac:dyDescent="0.3">
      <c r="A59" s="1"/>
      <c r="B59" s="1"/>
      <c r="C59" s="1"/>
      <c r="D59" s="1"/>
      <c r="E59" s="1"/>
      <c r="F59" s="1"/>
      <c r="G59" s="1"/>
      <c r="H59" s="508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8.75" x14ac:dyDescent="0.3">
      <c r="A60" s="1"/>
      <c r="B60" s="1"/>
      <c r="C60" s="1"/>
      <c r="D60" s="1"/>
      <c r="E60" s="1"/>
      <c r="F60" s="1"/>
      <c r="G60" s="1"/>
      <c r="H60" s="508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8.75" x14ac:dyDescent="0.3">
      <c r="A61" s="1"/>
      <c r="B61" s="1"/>
      <c r="C61" s="1"/>
      <c r="D61" s="1"/>
      <c r="E61" s="1"/>
      <c r="F61" s="1"/>
      <c r="G61" s="1"/>
      <c r="H61" s="508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8.75" x14ac:dyDescent="0.3">
      <c r="A62" s="1"/>
      <c r="B62" s="1"/>
      <c r="C62" s="1"/>
      <c r="D62" s="1"/>
      <c r="E62" s="1"/>
      <c r="F62" s="1"/>
      <c r="G62" s="1"/>
      <c r="H62" s="508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8.75" x14ac:dyDescent="0.3">
      <c r="A63" s="1"/>
      <c r="B63" s="1"/>
      <c r="C63" s="1"/>
      <c r="D63" s="1"/>
      <c r="E63" s="1"/>
      <c r="F63" s="1"/>
      <c r="G63" s="1"/>
      <c r="H63" s="508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8.75" x14ac:dyDescent="0.3">
      <c r="A64" s="1"/>
      <c r="B64" s="1"/>
      <c r="C64" s="1"/>
      <c r="D64" s="1"/>
      <c r="E64" s="1"/>
      <c r="F64" s="1"/>
      <c r="G64" s="1"/>
      <c r="H64" s="508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x14ac:dyDescent="0.25">
      <c r="A65" s="1"/>
      <c r="B65" s="1"/>
      <c r="C65" s="1"/>
      <c r="D65" s="1"/>
      <c r="E65" s="1"/>
      <c r="F65" s="1"/>
      <c r="G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8.75" x14ac:dyDescent="0.3">
      <c r="A66" s="1"/>
      <c r="B66" s="1"/>
      <c r="C66" s="1"/>
      <c r="D66" s="1"/>
      <c r="E66" s="1"/>
      <c r="F66" s="1"/>
      <c r="G66" s="1"/>
      <c r="H66" s="508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8.75" x14ac:dyDescent="0.3">
      <c r="A67" s="1"/>
      <c r="B67" s="1"/>
      <c r="C67" s="1"/>
      <c r="D67" s="1"/>
      <c r="E67" s="1"/>
      <c r="F67" s="1"/>
      <c r="G67" s="1"/>
      <c r="H67" s="508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8.75" x14ac:dyDescent="0.3">
      <c r="A68" s="1"/>
      <c r="B68" s="1"/>
      <c r="C68" s="1"/>
      <c r="D68" s="1"/>
      <c r="E68" s="1"/>
      <c r="F68" s="1"/>
      <c r="G68" s="1"/>
      <c r="H68" s="508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x14ac:dyDescent="0.25">
      <c r="J118" s="1"/>
      <c r="K118" s="1"/>
      <c r="L118" s="1"/>
    </row>
  </sheetData>
  <mergeCells count="39">
    <mergeCell ref="J21:L21"/>
    <mergeCell ref="J13:L13"/>
    <mergeCell ref="D3:G4"/>
    <mergeCell ref="D5:G6"/>
    <mergeCell ref="H5:K6"/>
    <mergeCell ref="L5:L6"/>
    <mergeCell ref="D7:G8"/>
    <mergeCell ref="H7:K8"/>
    <mergeCell ref="L7:L8"/>
    <mergeCell ref="B13:G13"/>
    <mergeCell ref="B10:C10"/>
    <mergeCell ref="D10:G10"/>
    <mergeCell ref="B11:C11"/>
    <mergeCell ref="D11:G11"/>
    <mergeCell ref="B12:C12"/>
    <mergeCell ref="B20:C20"/>
    <mergeCell ref="B15:C15"/>
    <mergeCell ref="D15:G15"/>
    <mergeCell ref="B16:C16"/>
    <mergeCell ref="D16:G16"/>
    <mergeCell ref="B19:C19"/>
    <mergeCell ref="D19:G19"/>
    <mergeCell ref="B17:C17"/>
    <mergeCell ref="D17:G17"/>
    <mergeCell ref="B18:C18"/>
    <mergeCell ref="D18:G18"/>
    <mergeCell ref="B23:C23"/>
    <mergeCell ref="D23:G23"/>
    <mergeCell ref="C26:E26"/>
    <mergeCell ref="B49:C49"/>
    <mergeCell ref="B25:C25"/>
    <mergeCell ref="D25:G25"/>
    <mergeCell ref="B24:C24"/>
    <mergeCell ref="D24:G24"/>
    <mergeCell ref="D20:G20"/>
    <mergeCell ref="B22:C22"/>
    <mergeCell ref="D22:G22"/>
    <mergeCell ref="D21:G21"/>
    <mergeCell ref="B21:C2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75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H57"/>
  <sheetViews>
    <sheetView topLeftCell="A28" workbookViewId="0">
      <selection activeCell="J15" sqref="J15"/>
    </sheetView>
  </sheetViews>
  <sheetFormatPr defaultColWidth="8.25" defaultRowHeight="15" x14ac:dyDescent="0.25"/>
  <cols>
    <col min="1" max="1" width="8.25" style="518"/>
    <col min="2" max="2" width="10.875" style="518" customWidth="1"/>
    <col min="3" max="3" width="8.25" style="518"/>
    <col min="4" max="4" width="15" style="518" customWidth="1"/>
    <col min="5" max="5" width="15.625" style="518" customWidth="1"/>
    <col min="6" max="6" width="8.25" style="518"/>
    <col min="7" max="7" width="10.375" style="518" customWidth="1"/>
    <col min="8" max="8" width="12.875" style="518" bestFit="1" customWidth="1"/>
    <col min="9" max="16384" width="8.25" style="518"/>
  </cols>
  <sheetData>
    <row r="2" spans="2:8" ht="12" customHeight="1" x14ac:dyDescent="0.25">
      <c r="B2" s="480"/>
      <c r="C2" s="481"/>
      <c r="D2" s="886" t="s">
        <v>294</v>
      </c>
      <c r="E2" s="886"/>
      <c r="F2" s="886"/>
      <c r="G2" s="886"/>
      <c r="H2" s="886"/>
    </row>
    <row r="3" spans="2:8" ht="12" customHeight="1" x14ac:dyDescent="0.25">
      <c r="B3" s="483"/>
      <c r="C3" s="484"/>
      <c r="D3" s="886"/>
      <c r="E3" s="886"/>
      <c r="F3" s="886"/>
      <c r="G3" s="886"/>
      <c r="H3" s="886"/>
    </row>
    <row r="4" spans="2:8" ht="12" customHeight="1" x14ac:dyDescent="0.25">
      <c r="B4" s="483"/>
      <c r="C4" s="484"/>
      <c r="D4" s="887" t="s">
        <v>295</v>
      </c>
      <c r="E4" s="887"/>
      <c r="F4" s="887"/>
      <c r="G4" s="887"/>
      <c r="H4" s="887"/>
    </row>
    <row r="5" spans="2:8" ht="12" customHeight="1" x14ac:dyDescent="0.25">
      <c r="B5" s="483"/>
      <c r="C5" s="484"/>
      <c r="D5" s="887"/>
      <c r="E5" s="887"/>
      <c r="F5" s="887"/>
      <c r="G5" s="887"/>
      <c r="H5" s="887"/>
    </row>
    <row r="6" spans="2:8" ht="12" customHeight="1" x14ac:dyDescent="0.25">
      <c r="B6" s="483"/>
      <c r="C6" s="484"/>
      <c r="D6" s="887" t="s">
        <v>296</v>
      </c>
      <c r="E6" s="887"/>
      <c r="F6" s="887"/>
      <c r="G6" s="887"/>
      <c r="H6" s="887"/>
    </row>
    <row r="7" spans="2:8" ht="12" customHeight="1" x14ac:dyDescent="0.25">
      <c r="B7" s="485"/>
      <c r="C7" s="486"/>
      <c r="D7" s="887"/>
      <c r="E7" s="887"/>
      <c r="F7" s="887"/>
      <c r="G7" s="887"/>
      <c r="H7" s="887"/>
    </row>
    <row r="8" spans="2:8" ht="6.75" customHeight="1" x14ac:dyDescent="0.25">
      <c r="B8" s="487"/>
      <c r="C8" s="488"/>
      <c r="D8" s="488"/>
      <c r="E8" s="488"/>
      <c r="F8" s="487"/>
      <c r="G8" s="489"/>
    </row>
    <row r="9" spans="2:8" ht="23.45" customHeight="1" x14ac:dyDescent="0.25">
      <c r="B9" s="842" t="s">
        <v>2423</v>
      </c>
      <c r="C9" s="888"/>
      <c r="D9" s="888"/>
      <c r="E9" s="843"/>
      <c r="F9" s="889" t="s">
        <v>2424</v>
      </c>
      <c r="G9" s="890"/>
      <c r="H9" s="891"/>
    </row>
    <row r="10" spans="2:8" ht="18" customHeight="1" x14ac:dyDescent="0.25">
      <c r="B10" s="876" t="s">
        <v>2425</v>
      </c>
      <c r="C10" s="877"/>
      <c r="D10" s="877"/>
      <c r="E10" s="878"/>
      <c r="F10" s="879" t="s">
        <v>2436</v>
      </c>
      <c r="G10" s="880"/>
      <c r="H10" s="881"/>
    </row>
    <row r="11" spans="2:8" ht="6" customHeight="1" thickBot="1" x14ac:dyDescent="0.3"/>
    <row r="12" spans="2:8" ht="19.5" customHeight="1" thickBot="1" x14ac:dyDescent="0.3">
      <c r="B12" s="882" t="s">
        <v>2437</v>
      </c>
      <c r="C12" s="883"/>
      <c r="D12" s="883"/>
      <c r="E12" s="883"/>
      <c r="F12" s="883"/>
      <c r="G12" s="883"/>
      <c r="H12" s="884"/>
    </row>
    <row r="13" spans="2:8" ht="4.5" customHeight="1" x14ac:dyDescent="0.25">
      <c r="B13" s="519"/>
      <c r="C13" s="519"/>
      <c r="D13" s="519"/>
      <c r="E13" s="519"/>
      <c r="F13" s="519"/>
      <c r="G13" s="519"/>
      <c r="H13" s="519"/>
    </row>
    <row r="14" spans="2:8" ht="15.75" thickBot="1" x14ac:dyDescent="0.3">
      <c r="B14" s="520" t="s">
        <v>2438</v>
      </c>
      <c r="C14" s="885" t="s">
        <v>2428</v>
      </c>
      <c r="D14" s="885"/>
      <c r="E14" s="885"/>
      <c r="F14" s="885"/>
      <c r="G14" s="651" t="s">
        <v>2439</v>
      </c>
      <c r="H14" s="521" t="s">
        <v>2440</v>
      </c>
    </row>
    <row r="15" spans="2:8" x14ac:dyDescent="0.25">
      <c r="B15" s="864" t="s">
        <v>2441</v>
      </c>
      <c r="C15" s="865"/>
      <c r="D15" s="865"/>
      <c r="E15" s="865"/>
      <c r="F15" s="865"/>
      <c r="G15" s="865"/>
      <c r="H15" s="866"/>
    </row>
    <row r="16" spans="2:8" x14ac:dyDescent="0.25">
      <c r="B16" s="522" t="s">
        <v>2442</v>
      </c>
      <c r="C16" s="857" t="s">
        <v>2443</v>
      </c>
      <c r="D16" s="857"/>
      <c r="E16" s="857"/>
      <c r="F16" s="857"/>
      <c r="G16" s="523">
        <v>0</v>
      </c>
      <c r="H16" s="524">
        <v>0</v>
      </c>
    </row>
    <row r="17" spans="2:8" x14ac:dyDescent="0.25">
      <c r="B17" s="522" t="s">
        <v>2444</v>
      </c>
      <c r="C17" s="857" t="s">
        <v>2445</v>
      </c>
      <c r="D17" s="857"/>
      <c r="E17" s="857"/>
      <c r="F17" s="857"/>
      <c r="G17" s="523">
        <v>1.5</v>
      </c>
      <c r="H17" s="524">
        <v>1.5</v>
      </c>
    </row>
    <row r="18" spans="2:8" x14ac:dyDescent="0.25">
      <c r="B18" s="522" t="s">
        <v>2446</v>
      </c>
      <c r="C18" s="857" t="s">
        <v>2447</v>
      </c>
      <c r="D18" s="857"/>
      <c r="E18" s="857"/>
      <c r="F18" s="857"/>
      <c r="G18" s="523">
        <v>1</v>
      </c>
      <c r="H18" s="524">
        <v>1</v>
      </c>
    </row>
    <row r="19" spans="2:8" x14ac:dyDescent="0.25">
      <c r="B19" s="522" t="s">
        <v>2448</v>
      </c>
      <c r="C19" s="857" t="s">
        <v>2449</v>
      </c>
      <c r="D19" s="857"/>
      <c r="E19" s="857"/>
      <c r="F19" s="857"/>
      <c r="G19" s="523">
        <v>0.2</v>
      </c>
      <c r="H19" s="524">
        <v>0.2</v>
      </c>
    </row>
    <row r="20" spans="2:8" x14ac:dyDescent="0.25">
      <c r="B20" s="522" t="s">
        <v>2450</v>
      </c>
      <c r="C20" s="857" t="s">
        <v>2451</v>
      </c>
      <c r="D20" s="857"/>
      <c r="E20" s="857"/>
      <c r="F20" s="857"/>
      <c r="G20" s="523">
        <v>0.6</v>
      </c>
      <c r="H20" s="524">
        <v>0.6</v>
      </c>
    </row>
    <row r="21" spans="2:8" x14ac:dyDescent="0.25">
      <c r="B21" s="522" t="s">
        <v>2452</v>
      </c>
      <c r="C21" s="857" t="s">
        <v>2453</v>
      </c>
      <c r="D21" s="857"/>
      <c r="E21" s="857"/>
      <c r="F21" s="857"/>
      <c r="G21" s="523">
        <v>2.5</v>
      </c>
      <c r="H21" s="524">
        <v>2.5</v>
      </c>
    </row>
    <row r="22" spans="2:8" x14ac:dyDescent="0.25">
      <c r="B22" s="522" t="s">
        <v>2454</v>
      </c>
      <c r="C22" s="857" t="s">
        <v>2455</v>
      </c>
      <c r="D22" s="857"/>
      <c r="E22" s="857"/>
      <c r="F22" s="857"/>
      <c r="G22" s="523">
        <v>3</v>
      </c>
      <c r="H22" s="524">
        <v>3</v>
      </c>
    </row>
    <row r="23" spans="2:8" x14ac:dyDescent="0.25">
      <c r="B23" s="522" t="s">
        <v>2456</v>
      </c>
      <c r="C23" s="857" t="s">
        <v>2457</v>
      </c>
      <c r="D23" s="857"/>
      <c r="E23" s="857"/>
      <c r="F23" s="857"/>
      <c r="G23" s="523">
        <v>8</v>
      </c>
      <c r="H23" s="524">
        <v>8</v>
      </c>
    </row>
    <row r="24" spans="2:8" ht="15.75" thickBot="1" x14ac:dyDescent="0.3">
      <c r="B24" s="525" t="s">
        <v>2458</v>
      </c>
      <c r="C24" s="875" t="s">
        <v>2459</v>
      </c>
      <c r="D24" s="875"/>
      <c r="E24" s="875"/>
      <c r="F24" s="875"/>
      <c r="G24" s="526">
        <v>0</v>
      </c>
      <c r="H24" s="527">
        <v>0</v>
      </c>
    </row>
    <row r="25" spans="2:8" ht="15.75" thickBot="1" x14ac:dyDescent="0.3">
      <c r="B25" s="528" t="s">
        <v>2460</v>
      </c>
      <c r="C25" s="870" t="s">
        <v>2461</v>
      </c>
      <c r="D25" s="870"/>
      <c r="E25" s="870"/>
      <c r="F25" s="870"/>
      <c r="G25" s="529">
        <f>SUM(G16:G24)</f>
        <v>16.8</v>
      </c>
      <c r="H25" s="530">
        <f>SUM(H16:H24)</f>
        <v>16.8</v>
      </c>
    </row>
    <row r="26" spans="2:8" ht="9" customHeight="1" thickBot="1" x14ac:dyDescent="0.3">
      <c r="B26" s="861"/>
      <c r="C26" s="862"/>
      <c r="D26" s="862"/>
      <c r="E26" s="862"/>
      <c r="F26" s="862"/>
      <c r="G26" s="862"/>
      <c r="H26" s="863"/>
    </row>
    <row r="27" spans="2:8" x14ac:dyDescent="0.25">
      <c r="B27" s="864" t="s">
        <v>2462</v>
      </c>
      <c r="C27" s="865"/>
      <c r="D27" s="865"/>
      <c r="E27" s="865"/>
      <c r="F27" s="865"/>
      <c r="G27" s="865"/>
      <c r="H27" s="866"/>
    </row>
    <row r="28" spans="2:8" x14ac:dyDescent="0.25">
      <c r="B28" s="522" t="s">
        <v>2463</v>
      </c>
      <c r="C28" s="857" t="s">
        <v>2464</v>
      </c>
      <c r="D28" s="857"/>
      <c r="E28" s="857"/>
      <c r="F28" s="857"/>
      <c r="G28" s="523">
        <v>17.84</v>
      </c>
      <c r="H28" s="524">
        <v>0</v>
      </c>
    </row>
    <row r="29" spans="2:8" x14ac:dyDescent="0.25">
      <c r="B29" s="522" t="s">
        <v>2465</v>
      </c>
      <c r="C29" s="857" t="s">
        <v>2466</v>
      </c>
      <c r="D29" s="857"/>
      <c r="E29" s="857"/>
      <c r="F29" s="857"/>
      <c r="G29" s="523">
        <v>3.95</v>
      </c>
      <c r="H29" s="524">
        <v>0</v>
      </c>
    </row>
    <row r="30" spans="2:8" x14ac:dyDescent="0.25">
      <c r="B30" s="522" t="s">
        <v>2467</v>
      </c>
      <c r="C30" s="857" t="s">
        <v>2468</v>
      </c>
      <c r="D30" s="857"/>
      <c r="E30" s="857"/>
      <c r="F30" s="857"/>
      <c r="G30" s="523">
        <v>0.92</v>
      </c>
      <c r="H30" s="524">
        <v>0.69</v>
      </c>
    </row>
    <row r="31" spans="2:8" x14ac:dyDescent="0.25">
      <c r="B31" s="522" t="s">
        <v>2469</v>
      </c>
      <c r="C31" s="857" t="s">
        <v>2470</v>
      </c>
      <c r="D31" s="857"/>
      <c r="E31" s="857"/>
      <c r="F31" s="857"/>
      <c r="G31" s="531">
        <v>11.02</v>
      </c>
      <c r="H31" s="532">
        <v>8.33</v>
      </c>
    </row>
    <row r="32" spans="2:8" x14ac:dyDescent="0.25">
      <c r="B32" s="522" t="s">
        <v>2471</v>
      </c>
      <c r="C32" s="857" t="s">
        <v>2472</v>
      </c>
      <c r="D32" s="857"/>
      <c r="E32" s="857"/>
      <c r="F32" s="857"/>
      <c r="G32" s="523">
        <v>0.08</v>
      </c>
      <c r="H32" s="524">
        <v>0.06</v>
      </c>
    </row>
    <row r="33" spans="2:8" x14ac:dyDescent="0.25">
      <c r="B33" s="522" t="s">
        <v>2473</v>
      </c>
      <c r="C33" s="871" t="s">
        <v>2474</v>
      </c>
      <c r="D33" s="872"/>
      <c r="E33" s="872"/>
      <c r="F33" s="873"/>
      <c r="G33" s="523">
        <v>0.73</v>
      </c>
      <c r="H33" s="524">
        <v>0.56000000000000005</v>
      </c>
    </row>
    <row r="34" spans="2:8" x14ac:dyDescent="0.25">
      <c r="B34" s="522" t="s">
        <v>2475</v>
      </c>
      <c r="C34" s="871" t="s">
        <v>2476</v>
      </c>
      <c r="D34" s="872"/>
      <c r="E34" s="872"/>
      <c r="F34" s="873"/>
      <c r="G34" s="523">
        <v>1.2</v>
      </c>
      <c r="H34" s="524">
        <v>0</v>
      </c>
    </row>
    <row r="35" spans="2:8" x14ac:dyDescent="0.25">
      <c r="B35" s="522" t="s">
        <v>2477</v>
      </c>
      <c r="C35" s="871" t="s">
        <v>2478</v>
      </c>
      <c r="D35" s="872"/>
      <c r="E35" s="872"/>
      <c r="F35" s="873"/>
      <c r="G35" s="523">
        <v>0.12</v>
      </c>
      <c r="H35" s="524">
        <v>0.09</v>
      </c>
    </row>
    <row r="36" spans="2:8" x14ac:dyDescent="0.25">
      <c r="B36" s="522" t="s">
        <v>2479</v>
      </c>
      <c r="C36" s="857" t="s">
        <v>2480</v>
      </c>
      <c r="D36" s="857"/>
      <c r="E36" s="857"/>
      <c r="F36" s="857"/>
      <c r="G36" s="523">
        <v>12.46</v>
      </c>
      <c r="H36" s="524">
        <v>9.42</v>
      </c>
    </row>
    <row r="37" spans="2:8" x14ac:dyDescent="0.25">
      <c r="B37" s="522" t="s">
        <v>2481</v>
      </c>
      <c r="C37" s="857" t="s">
        <v>2482</v>
      </c>
      <c r="D37" s="857"/>
      <c r="E37" s="857"/>
      <c r="F37" s="857"/>
      <c r="G37" s="523">
        <v>0.03</v>
      </c>
      <c r="H37" s="524">
        <v>0.02</v>
      </c>
    </row>
    <row r="38" spans="2:8" ht="15.75" thickBot="1" x14ac:dyDescent="0.3">
      <c r="B38" s="533" t="s">
        <v>2483</v>
      </c>
      <c r="C38" s="874" t="s">
        <v>2484</v>
      </c>
      <c r="D38" s="874"/>
      <c r="E38" s="874"/>
      <c r="F38" s="874"/>
      <c r="G38" s="534">
        <f>SUM(G28:G37)</f>
        <v>48.35</v>
      </c>
      <c r="H38" s="535">
        <f>SUM(H28:H37)</f>
        <v>19.169999999999998</v>
      </c>
    </row>
    <row r="39" spans="2:8" ht="9.75" customHeight="1" thickBot="1" x14ac:dyDescent="0.3">
      <c r="B39" s="861"/>
      <c r="C39" s="862"/>
      <c r="D39" s="862"/>
      <c r="E39" s="862"/>
      <c r="F39" s="862"/>
      <c r="G39" s="862"/>
      <c r="H39" s="863"/>
    </row>
    <row r="40" spans="2:8" x14ac:dyDescent="0.25">
      <c r="B40" s="864" t="s">
        <v>2485</v>
      </c>
      <c r="C40" s="865"/>
      <c r="D40" s="865"/>
      <c r="E40" s="865"/>
      <c r="F40" s="865"/>
      <c r="G40" s="865"/>
      <c r="H40" s="866"/>
    </row>
    <row r="41" spans="2:8" x14ac:dyDescent="0.25">
      <c r="B41" s="522" t="s">
        <v>2486</v>
      </c>
      <c r="C41" s="857" t="s">
        <v>2487</v>
      </c>
      <c r="D41" s="857"/>
      <c r="E41" s="857"/>
      <c r="F41" s="857"/>
      <c r="G41" s="523">
        <v>8.1</v>
      </c>
      <c r="H41" s="524">
        <v>6.13</v>
      </c>
    </row>
    <row r="42" spans="2:8" x14ac:dyDescent="0.25">
      <c r="B42" s="522" t="s">
        <v>2488</v>
      </c>
      <c r="C42" s="857" t="s">
        <v>2489</v>
      </c>
      <c r="D42" s="857"/>
      <c r="E42" s="857"/>
      <c r="F42" s="857"/>
      <c r="G42" s="523">
        <v>0.19</v>
      </c>
      <c r="H42" s="524">
        <v>0.14000000000000001</v>
      </c>
    </row>
    <row r="43" spans="2:8" x14ac:dyDescent="0.25">
      <c r="B43" s="522" t="s">
        <v>2490</v>
      </c>
      <c r="C43" s="857" t="s">
        <v>2491</v>
      </c>
      <c r="D43" s="857"/>
      <c r="E43" s="857"/>
      <c r="F43" s="857"/>
      <c r="G43" s="523">
        <v>1.82</v>
      </c>
      <c r="H43" s="524">
        <v>1.38</v>
      </c>
    </row>
    <row r="44" spans="2:8" x14ac:dyDescent="0.25">
      <c r="B44" s="522" t="s">
        <v>2492</v>
      </c>
      <c r="C44" s="857" t="s">
        <v>2493</v>
      </c>
      <c r="D44" s="857"/>
      <c r="E44" s="857"/>
      <c r="F44" s="857"/>
      <c r="G44" s="523">
        <v>5.22</v>
      </c>
      <c r="H44" s="524">
        <v>3.95</v>
      </c>
    </row>
    <row r="45" spans="2:8" x14ac:dyDescent="0.25">
      <c r="B45" s="522" t="s">
        <v>2494</v>
      </c>
      <c r="C45" s="857" t="s">
        <v>2495</v>
      </c>
      <c r="D45" s="857"/>
      <c r="E45" s="857"/>
      <c r="F45" s="857"/>
      <c r="G45" s="523">
        <v>0.68</v>
      </c>
      <c r="H45" s="524">
        <v>0.52</v>
      </c>
    </row>
    <row r="46" spans="2:8" ht="27.75" customHeight="1" thickBot="1" x14ac:dyDescent="0.3">
      <c r="B46" s="533" t="s">
        <v>2496</v>
      </c>
      <c r="C46" s="849" t="s">
        <v>2497</v>
      </c>
      <c r="D46" s="850"/>
      <c r="E46" s="850"/>
      <c r="F46" s="851"/>
      <c r="G46" s="534">
        <f>SUM(G41:G45)</f>
        <v>16.009999999999998</v>
      </c>
      <c r="H46" s="535">
        <f>SUM(H41:H45)</f>
        <v>12.12</v>
      </c>
    </row>
    <row r="47" spans="2:8" ht="10.5" customHeight="1" thickBot="1" x14ac:dyDescent="0.3">
      <c r="B47" s="861"/>
      <c r="C47" s="862"/>
      <c r="D47" s="862"/>
      <c r="E47" s="862"/>
      <c r="F47" s="862"/>
      <c r="G47" s="862"/>
      <c r="H47" s="863"/>
    </row>
    <row r="48" spans="2:8" x14ac:dyDescent="0.25">
      <c r="B48" s="864" t="s">
        <v>2498</v>
      </c>
      <c r="C48" s="865"/>
      <c r="D48" s="865"/>
      <c r="E48" s="865"/>
      <c r="F48" s="865"/>
      <c r="G48" s="865"/>
      <c r="H48" s="866"/>
    </row>
    <row r="49" spans="2:8" x14ac:dyDescent="0.25">
      <c r="B49" s="522" t="s">
        <v>2499</v>
      </c>
      <c r="C49" s="857" t="s">
        <v>2500</v>
      </c>
      <c r="D49" s="857"/>
      <c r="E49" s="857"/>
      <c r="F49" s="857"/>
      <c r="G49" s="523">
        <v>8.1199999999999992</v>
      </c>
      <c r="H49" s="524">
        <v>3.22</v>
      </c>
    </row>
    <row r="50" spans="2:8" ht="26.25" customHeight="1" x14ac:dyDescent="0.25">
      <c r="B50" s="522" t="s">
        <v>2501</v>
      </c>
      <c r="C50" s="867" t="s">
        <v>2502</v>
      </c>
      <c r="D50" s="868"/>
      <c r="E50" s="868"/>
      <c r="F50" s="869"/>
      <c r="G50" s="523">
        <v>0.68</v>
      </c>
      <c r="H50" s="524">
        <v>0.51</v>
      </c>
    </row>
    <row r="51" spans="2:8" ht="15.75" thickBot="1" x14ac:dyDescent="0.3">
      <c r="B51" s="533" t="s">
        <v>2503</v>
      </c>
      <c r="C51" s="849" t="s">
        <v>2504</v>
      </c>
      <c r="D51" s="850"/>
      <c r="E51" s="850"/>
      <c r="F51" s="851"/>
      <c r="G51" s="534">
        <f>SUM(G49:G50)</f>
        <v>8.7999999999999989</v>
      </c>
      <c r="H51" s="535">
        <f>SUM(H49:H50)</f>
        <v>3.7300000000000004</v>
      </c>
    </row>
    <row r="52" spans="2:8" x14ac:dyDescent="0.25">
      <c r="B52" s="852"/>
      <c r="C52" s="853"/>
      <c r="D52" s="853"/>
      <c r="E52" s="853"/>
      <c r="F52" s="853"/>
      <c r="G52" s="853"/>
      <c r="H52" s="854"/>
    </row>
    <row r="53" spans="2:8" x14ac:dyDescent="0.25">
      <c r="B53" s="855" t="s">
        <v>2505</v>
      </c>
      <c r="C53" s="856"/>
      <c r="D53" s="856"/>
      <c r="E53" s="856"/>
      <c r="F53" s="856"/>
      <c r="G53" s="536">
        <f>SUM(G51+G46+G38+G25)</f>
        <v>89.96</v>
      </c>
      <c r="H53" s="537">
        <f>SUM(H51+H46+H38+H25)</f>
        <v>51.819999999999993</v>
      </c>
    </row>
    <row r="54" spans="2:8" ht="12.75" customHeight="1" thickBot="1" x14ac:dyDescent="0.3">
      <c r="B54" s="858"/>
      <c r="C54" s="859"/>
      <c r="D54" s="859"/>
      <c r="E54" s="859"/>
      <c r="F54" s="859"/>
      <c r="G54" s="859"/>
      <c r="H54" s="860"/>
    </row>
    <row r="57" spans="2:8" x14ac:dyDescent="0.25">
      <c r="B57" s="518" t="str">
        <f>Cronograma!A53</f>
        <v>Teresina(PI), 07 de abril de 2017</v>
      </c>
    </row>
  </sheetData>
  <mergeCells count="49">
    <mergeCell ref="B10:E10"/>
    <mergeCell ref="F10:H10"/>
    <mergeCell ref="B12:H12"/>
    <mergeCell ref="C14:F14"/>
    <mergeCell ref="D2:H3"/>
    <mergeCell ref="D4:H5"/>
    <mergeCell ref="D6:H7"/>
    <mergeCell ref="B9:E9"/>
    <mergeCell ref="F9:H9"/>
    <mergeCell ref="B15:H15"/>
    <mergeCell ref="C16:F16"/>
    <mergeCell ref="C17:F17"/>
    <mergeCell ref="C30:F30"/>
    <mergeCell ref="C19:F19"/>
    <mergeCell ref="C20:F20"/>
    <mergeCell ref="C21:F21"/>
    <mergeCell ref="C22:F22"/>
    <mergeCell ref="C23:F23"/>
    <mergeCell ref="C24:F24"/>
    <mergeCell ref="C18:F18"/>
    <mergeCell ref="B40:H40"/>
    <mergeCell ref="C25:F25"/>
    <mergeCell ref="B26:H26"/>
    <mergeCell ref="B27:H27"/>
    <mergeCell ref="C28:F28"/>
    <mergeCell ref="C29:F29"/>
    <mergeCell ref="C31:F31"/>
    <mergeCell ref="C32:F32"/>
    <mergeCell ref="C33:F33"/>
    <mergeCell ref="C34:F34"/>
    <mergeCell ref="C35:F35"/>
    <mergeCell ref="C36:F36"/>
    <mergeCell ref="C37:F37"/>
    <mergeCell ref="C38:F38"/>
    <mergeCell ref="B39:H39"/>
    <mergeCell ref="C51:F51"/>
    <mergeCell ref="B52:H52"/>
    <mergeCell ref="B53:F53"/>
    <mergeCell ref="C41:F41"/>
    <mergeCell ref="B54:H54"/>
    <mergeCell ref="C43:F43"/>
    <mergeCell ref="C44:F44"/>
    <mergeCell ref="C45:F45"/>
    <mergeCell ref="C46:F46"/>
    <mergeCell ref="B47:H47"/>
    <mergeCell ref="B48:H48"/>
    <mergeCell ref="C49:F49"/>
    <mergeCell ref="C50:F50"/>
    <mergeCell ref="C42:F42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0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pageSetUpPr fitToPage="1"/>
  </sheetPr>
  <dimension ref="A1:AW33"/>
  <sheetViews>
    <sheetView zoomScale="70" zoomScaleNormal="70" workbookViewId="0">
      <selection activeCell="C16" sqref="C16"/>
    </sheetView>
  </sheetViews>
  <sheetFormatPr defaultRowHeight="15.75" x14ac:dyDescent="0.25"/>
  <cols>
    <col min="1" max="1" width="5.875" customWidth="1"/>
    <col min="2" max="2" width="53.875" customWidth="1"/>
    <col min="3" max="3" width="15.25" customWidth="1"/>
    <col min="4" max="4" width="14.375" customWidth="1"/>
    <col min="5" max="5" width="13.875" customWidth="1"/>
    <col min="6" max="6" width="13.375" customWidth="1"/>
    <col min="7" max="7" width="14.625" customWidth="1"/>
    <col min="8" max="8" width="14.75" customWidth="1"/>
    <col min="9" max="9" width="15.75" customWidth="1"/>
    <col min="10" max="10" width="17.125" style="131" customWidth="1"/>
    <col min="11" max="11" width="10" customWidth="1"/>
  </cols>
  <sheetData>
    <row r="1" spans="1:49" s="207" customFormat="1" ht="24.6" customHeight="1" x14ac:dyDescent="0.3">
      <c r="A1" s="892" t="s">
        <v>2506</v>
      </c>
      <c r="B1" s="893"/>
      <c r="C1" s="893"/>
      <c r="D1" s="893"/>
      <c r="E1" s="893"/>
      <c r="F1" s="893"/>
      <c r="G1" s="893"/>
      <c r="H1" s="893"/>
      <c r="I1" s="893"/>
      <c r="J1" s="893"/>
      <c r="K1" s="894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</row>
    <row r="2" spans="1:49" ht="31.5" x14ac:dyDescent="0.25">
      <c r="A2" s="221"/>
      <c r="B2" s="222" t="s">
        <v>2507</v>
      </c>
      <c r="C2" s="222" t="s">
        <v>2508</v>
      </c>
      <c r="D2" s="222" t="s">
        <v>2509</v>
      </c>
      <c r="E2" s="222" t="s">
        <v>2510</v>
      </c>
      <c r="F2" s="222" t="s">
        <v>2511</v>
      </c>
      <c r="G2" s="222" t="s">
        <v>2512</v>
      </c>
      <c r="H2" s="222" t="s">
        <v>2513</v>
      </c>
      <c r="I2" s="222" t="s">
        <v>2514</v>
      </c>
      <c r="J2" s="222" t="s">
        <v>2515</v>
      </c>
      <c r="K2" s="221" t="s">
        <v>2516</v>
      </c>
      <c r="L2" s="211"/>
      <c r="M2" s="211"/>
      <c r="N2" s="211"/>
      <c r="O2" s="211"/>
      <c r="P2" s="211"/>
      <c r="Q2" s="21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31"/>
      <c r="AD2" s="131"/>
      <c r="AE2" s="131"/>
      <c r="AF2" s="131"/>
      <c r="AG2" s="131"/>
      <c r="AH2" s="131"/>
      <c r="AI2" s="131"/>
      <c r="AJ2" s="131"/>
      <c r="AK2" s="131"/>
      <c r="AL2" s="131"/>
      <c r="AM2" s="131"/>
      <c r="AN2" s="131"/>
      <c r="AO2" s="131"/>
      <c r="AP2" s="131"/>
      <c r="AQ2" s="131"/>
      <c r="AR2" s="131"/>
      <c r="AS2" s="131"/>
      <c r="AT2" s="131"/>
      <c r="AU2" s="131"/>
      <c r="AV2" s="131"/>
      <c r="AW2" s="131"/>
    </row>
    <row r="3" spans="1:49" ht="47.25" x14ac:dyDescent="0.25">
      <c r="A3" s="226" t="s">
        <v>2517</v>
      </c>
      <c r="B3" s="225" t="s">
        <v>2518</v>
      </c>
      <c r="C3" s="227">
        <v>1170.07</v>
      </c>
      <c r="D3" s="227">
        <v>1119.96</v>
      </c>
      <c r="E3" s="228">
        <v>132.97</v>
      </c>
      <c r="F3" s="229">
        <v>287.39999999999998</v>
      </c>
      <c r="G3" s="229">
        <v>17.5</v>
      </c>
      <c r="H3" s="228"/>
      <c r="I3" s="225"/>
      <c r="J3" s="230"/>
      <c r="K3" s="228"/>
      <c r="L3" s="211"/>
      <c r="M3" s="211"/>
      <c r="N3" s="211"/>
      <c r="O3" s="211"/>
      <c r="P3" s="211"/>
      <c r="Q3" s="21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</row>
    <row r="4" spans="1:49" ht="45" x14ac:dyDescent="0.25">
      <c r="A4" s="231" t="s">
        <v>2519</v>
      </c>
      <c r="B4" s="225" t="s">
        <v>2520</v>
      </c>
      <c r="C4" s="227">
        <v>2011.07</v>
      </c>
      <c r="D4" s="227">
        <v>2377.61</v>
      </c>
      <c r="E4" s="228">
        <v>173.34</v>
      </c>
      <c r="F4" s="228">
        <v>137.57</v>
      </c>
      <c r="G4" s="228">
        <v>138.13</v>
      </c>
      <c r="H4" s="229">
        <v>467.7</v>
      </c>
      <c r="I4" s="225" t="s">
        <v>2521</v>
      </c>
      <c r="J4" s="230"/>
      <c r="K4" s="228"/>
      <c r="L4" s="211"/>
      <c r="M4" s="211"/>
      <c r="N4" s="211"/>
      <c r="O4" s="211"/>
      <c r="P4" s="211"/>
      <c r="Q4" s="211"/>
      <c r="R4" s="131"/>
      <c r="S4" s="131"/>
      <c r="T4" s="131"/>
      <c r="U4" s="131"/>
      <c r="V4" s="131"/>
      <c r="W4" s="131"/>
      <c r="X4" s="131"/>
      <c r="Y4" s="131"/>
      <c r="Z4" s="131"/>
      <c r="AA4" s="131"/>
      <c r="AB4" s="131"/>
      <c r="AC4" s="131"/>
      <c r="AD4" s="131"/>
      <c r="AE4" s="131"/>
      <c r="AF4" s="131"/>
      <c r="AG4" s="131"/>
      <c r="AH4" s="131"/>
      <c r="AI4" s="131"/>
      <c r="AJ4" s="131"/>
      <c r="AK4" s="131"/>
      <c r="AL4" s="131"/>
      <c r="AM4" s="131"/>
      <c r="AN4" s="131"/>
      <c r="AO4" s="131"/>
      <c r="AP4" s="131"/>
      <c r="AQ4" s="131"/>
      <c r="AR4" s="131"/>
      <c r="AS4" s="131"/>
      <c r="AT4" s="131"/>
      <c r="AU4" s="131"/>
      <c r="AV4" s="131"/>
      <c r="AW4" s="131"/>
    </row>
    <row r="5" spans="1:49" x14ac:dyDescent="0.25">
      <c r="A5" s="232"/>
      <c r="B5" s="228" t="s">
        <v>2522</v>
      </c>
      <c r="C5" s="227">
        <v>1691.16</v>
      </c>
      <c r="D5" s="227">
        <v>1607.3</v>
      </c>
      <c r="E5" s="228">
        <v>257.64999999999998</v>
      </c>
      <c r="F5" s="228">
        <v>148.81</v>
      </c>
      <c r="G5" s="228">
        <v>140.75</v>
      </c>
      <c r="H5" s="228"/>
      <c r="I5" s="225"/>
      <c r="J5" s="230"/>
      <c r="K5" s="228"/>
      <c r="L5" s="211"/>
      <c r="M5" s="211"/>
      <c r="N5" s="211"/>
      <c r="O5" s="211"/>
      <c r="P5" s="211"/>
      <c r="Q5" s="211"/>
      <c r="R5" s="131"/>
      <c r="S5" s="131"/>
      <c r="T5" s="131"/>
      <c r="U5" s="131"/>
      <c r="V5" s="131"/>
      <c r="W5" s="131"/>
      <c r="X5" s="131"/>
      <c r="Y5" s="131"/>
      <c r="Z5" s="131"/>
      <c r="AA5" s="131"/>
      <c r="AB5" s="131"/>
      <c r="AC5" s="131"/>
      <c r="AD5" s="131"/>
      <c r="AE5" s="131"/>
      <c r="AF5" s="131"/>
      <c r="AG5" s="131"/>
      <c r="AH5" s="131"/>
      <c r="AI5" s="131"/>
      <c r="AJ5" s="131"/>
      <c r="AK5" s="131"/>
      <c r="AL5" s="131"/>
      <c r="AM5" s="131"/>
      <c r="AN5" s="131"/>
      <c r="AO5" s="131"/>
      <c r="AP5" s="131"/>
      <c r="AQ5" s="131"/>
      <c r="AR5" s="131"/>
      <c r="AS5" s="131"/>
      <c r="AT5" s="131"/>
      <c r="AU5" s="131"/>
      <c r="AV5" s="131"/>
      <c r="AW5" s="131"/>
    </row>
    <row r="6" spans="1:49" x14ac:dyDescent="0.25">
      <c r="A6" s="233"/>
      <c r="B6" s="228" t="s">
        <v>2523</v>
      </c>
      <c r="C6" s="228">
        <v>794.85</v>
      </c>
      <c r="D6" s="228">
        <v>747.56</v>
      </c>
      <c r="E6" s="228">
        <v>119.21</v>
      </c>
      <c r="F6" s="228">
        <v>176.03</v>
      </c>
      <c r="G6" s="229">
        <v>14</v>
      </c>
      <c r="H6" s="228"/>
      <c r="I6" s="228"/>
      <c r="J6" s="230"/>
      <c r="K6" s="228"/>
      <c r="L6" s="211"/>
      <c r="M6" s="211"/>
      <c r="N6" s="211"/>
      <c r="O6" s="211"/>
      <c r="P6" s="211"/>
      <c r="Q6" s="211"/>
      <c r="R6" s="131"/>
      <c r="S6" s="131"/>
      <c r="T6" s="131"/>
      <c r="U6" s="131"/>
      <c r="V6" s="131"/>
      <c r="W6" s="131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</row>
    <row r="7" spans="1:49" x14ac:dyDescent="0.25">
      <c r="A7" s="234"/>
      <c r="B7" s="225" t="s">
        <v>2524</v>
      </c>
      <c r="C7" s="228"/>
      <c r="D7" s="228"/>
      <c r="E7" s="228"/>
      <c r="F7" s="228"/>
      <c r="G7" s="228"/>
      <c r="H7" s="228"/>
      <c r="I7" s="228"/>
      <c r="J7" s="230"/>
      <c r="K7" s="228">
        <v>101</v>
      </c>
      <c r="L7" s="211"/>
      <c r="M7" s="211"/>
      <c r="N7" s="211"/>
      <c r="O7" s="211"/>
      <c r="P7" s="211"/>
      <c r="Q7" s="21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</row>
    <row r="8" spans="1:49" ht="31.5" x14ac:dyDescent="0.25">
      <c r="A8" s="235"/>
      <c r="B8" s="225" t="s">
        <v>2525</v>
      </c>
      <c r="C8" s="228"/>
      <c r="D8" s="228"/>
      <c r="E8" s="228"/>
      <c r="F8" s="228"/>
      <c r="G8" s="228"/>
      <c r="H8" s="228"/>
      <c r="I8" s="228">
        <v>238.57</v>
      </c>
      <c r="J8" s="230">
        <v>238.57</v>
      </c>
      <c r="K8" s="228"/>
      <c r="L8" s="211"/>
      <c r="M8" s="211"/>
      <c r="N8" s="211"/>
      <c r="O8" s="211"/>
      <c r="P8" s="211"/>
      <c r="Q8" s="211"/>
      <c r="R8" s="131"/>
      <c r="S8" s="131"/>
      <c r="T8" s="131"/>
      <c r="U8" s="131"/>
      <c r="V8" s="131"/>
      <c r="W8" s="131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</row>
    <row r="9" spans="1:49" s="130" customFormat="1" x14ac:dyDescent="0.25">
      <c r="A9" s="236"/>
      <c r="B9" s="237" t="s">
        <v>2526</v>
      </c>
      <c r="C9" s="238">
        <f>SUM(C3:C6)</f>
        <v>5667.1500000000005</v>
      </c>
      <c r="D9" s="238">
        <f>SUM(D3:D6)</f>
        <v>5852.43</v>
      </c>
      <c r="E9" s="239">
        <f>SUM(E3:E6)</f>
        <v>683.17000000000007</v>
      </c>
      <c r="F9" s="239">
        <f>SUM(F3,F6)</f>
        <v>463.42999999999995</v>
      </c>
      <c r="G9" s="239">
        <f>SUM(G3:G6)</f>
        <v>310.38</v>
      </c>
      <c r="H9" s="239">
        <v>467.7</v>
      </c>
      <c r="I9" s="237">
        <v>238.57</v>
      </c>
      <c r="J9" s="237">
        <v>238.57</v>
      </c>
      <c r="K9" s="236">
        <v>101</v>
      </c>
      <c r="L9" s="211"/>
      <c r="M9" s="211"/>
      <c r="N9" s="211"/>
      <c r="O9" s="211"/>
      <c r="P9" s="211"/>
      <c r="Q9" s="211"/>
      <c r="R9" s="131"/>
      <c r="S9" s="131"/>
      <c r="T9" s="131"/>
      <c r="U9" s="131"/>
      <c r="V9" s="131"/>
      <c r="W9" s="131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</row>
    <row r="10" spans="1:49" x14ac:dyDescent="0.25">
      <c r="A10" s="228"/>
      <c r="B10" s="228"/>
      <c r="C10" s="228"/>
      <c r="D10" s="228"/>
      <c r="E10" s="228"/>
      <c r="F10" s="228"/>
      <c r="G10" s="228"/>
      <c r="H10" s="228"/>
      <c r="I10" s="228"/>
      <c r="J10" s="230"/>
      <c r="K10" s="228"/>
      <c r="L10" s="211"/>
      <c r="M10" s="211"/>
      <c r="N10" s="211"/>
      <c r="O10" s="211"/>
      <c r="P10" s="211"/>
      <c r="Q10" s="21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</row>
    <row r="11" spans="1:49" ht="18.75" x14ac:dyDescent="0.25">
      <c r="A11" s="221" t="s">
        <v>136</v>
      </c>
      <c r="B11" s="223" t="s">
        <v>2527</v>
      </c>
      <c r="C11" s="221"/>
      <c r="D11" s="223"/>
      <c r="E11" s="221"/>
      <c r="F11" s="221"/>
      <c r="G11" s="221"/>
      <c r="H11" s="221"/>
      <c r="I11" s="221"/>
      <c r="J11" s="221"/>
      <c r="K11" s="221"/>
      <c r="L11" s="211"/>
      <c r="M11" s="211"/>
      <c r="N11" s="211"/>
      <c r="O11" s="211"/>
      <c r="P11" s="211"/>
      <c r="Q11" s="21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</row>
    <row r="12" spans="1:49" ht="63" x14ac:dyDescent="0.25">
      <c r="A12" s="221"/>
      <c r="B12" s="223" t="s">
        <v>2528</v>
      </c>
      <c r="C12" s="224" t="s">
        <v>2529</v>
      </c>
      <c r="D12" s="224" t="s">
        <v>2530</v>
      </c>
      <c r="E12" s="222" t="s">
        <v>2531</v>
      </c>
      <c r="F12" s="222" t="s">
        <v>2532</v>
      </c>
      <c r="G12" s="222" t="s">
        <v>2533</v>
      </c>
      <c r="H12" s="222" t="s">
        <v>2534</v>
      </c>
      <c r="I12" s="222" t="s">
        <v>2535</v>
      </c>
      <c r="J12" s="222" t="s">
        <v>2536</v>
      </c>
      <c r="K12" s="222" t="s">
        <v>2537</v>
      </c>
      <c r="L12" s="211"/>
      <c r="M12" s="211"/>
      <c r="N12" s="211"/>
      <c r="O12" s="211"/>
      <c r="P12" s="211"/>
      <c r="Q12" s="21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</row>
    <row r="13" spans="1:49" x14ac:dyDescent="0.25">
      <c r="A13" s="41" t="s">
        <v>45</v>
      </c>
      <c r="B13" s="41" t="s">
        <v>2538</v>
      </c>
      <c r="C13" s="41">
        <v>140.82</v>
      </c>
      <c r="D13" s="209">
        <v>93.9</v>
      </c>
      <c r="E13" s="209">
        <v>15.8</v>
      </c>
      <c r="F13" s="209">
        <v>27.6</v>
      </c>
      <c r="G13" s="41"/>
      <c r="H13" s="41">
        <v>46.92</v>
      </c>
      <c r="I13" s="41"/>
      <c r="J13" s="43"/>
      <c r="K13" s="41"/>
      <c r="L13" s="211"/>
      <c r="M13" s="211"/>
      <c r="N13" s="211"/>
      <c r="O13" s="211"/>
      <c r="P13" s="211"/>
      <c r="Q13" s="21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</row>
    <row r="14" spans="1:49" x14ac:dyDescent="0.25">
      <c r="A14" s="41" t="s">
        <v>136</v>
      </c>
      <c r="B14" s="41" t="s">
        <v>2539</v>
      </c>
      <c r="C14" s="209">
        <v>131.30000000000001</v>
      </c>
      <c r="D14" s="41">
        <v>83.15</v>
      </c>
      <c r="E14" s="41">
        <v>12.05</v>
      </c>
      <c r="F14" s="41">
        <v>34.03</v>
      </c>
      <c r="G14" s="41">
        <v>3.25</v>
      </c>
      <c r="H14" s="41">
        <v>42.05</v>
      </c>
      <c r="I14" s="41"/>
      <c r="J14" s="43"/>
      <c r="K14" s="41"/>
      <c r="L14" s="211"/>
      <c r="M14" s="211"/>
      <c r="N14" s="211"/>
      <c r="O14" s="211"/>
      <c r="P14" s="211"/>
      <c r="Q14" s="211"/>
      <c r="R14" s="211"/>
      <c r="S14" s="211"/>
      <c r="T14" s="21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</row>
    <row r="15" spans="1:49" x14ac:dyDescent="0.25">
      <c r="A15" s="41" t="s">
        <v>138</v>
      </c>
      <c r="B15" s="41" t="s">
        <v>2540</v>
      </c>
      <c r="C15" s="41">
        <v>85.45</v>
      </c>
      <c r="D15" s="41">
        <v>46.5</v>
      </c>
      <c r="E15" s="209">
        <v>12.4</v>
      </c>
      <c r="F15" s="209">
        <v>21</v>
      </c>
      <c r="G15" s="41"/>
      <c r="H15" s="41">
        <v>29.75</v>
      </c>
      <c r="I15" s="209"/>
      <c r="J15" s="43"/>
      <c r="K15" s="209">
        <v>45.2</v>
      </c>
      <c r="L15" s="211"/>
      <c r="M15" s="211"/>
      <c r="N15" s="211"/>
      <c r="O15" s="211"/>
      <c r="P15" s="211"/>
      <c r="Q15" s="211"/>
      <c r="R15" s="211"/>
      <c r="S15" s="211"/>
      <c r="T15" s="21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</row>
    <row r="16" spans="1:49" x14ac:dyDescent="0.25">
      <c r="A16" s="41"/>
      <c r="B16" s="41"/>
      <c r="C16" s="41"/>
      <c r="D16" s="41"/>
      <c r="E16" s="41"/>
      <c r="F16" s="41"/>
      <c r="G16" s="41"/>
      <c r="H16" s="41"/>
      <c r="I16" s="41"/>
      <c r="J16" s="43"/>
      <c r="K16" s="41"/>
      <c r="L16" s="211"/>
      <c r="M16" s="211"/>
      <c r="N16" s="211"/>
      <c r="O16" s="211"/>
      <c r="P16" s="211"/>
      <c r="Q16" s="211"/>
      <c r="R16" s="211"/>
      <c r="S16" s="211"/>
      <c r="T16" s="21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</row>
    <row r="17" spans="1:49" s="216" customFormat="1" x14ac:dyDescent="0.25">
      <c r="A17" s="212"/>
      <c r="B17" s="213" t="s">
        <v>2541</v>
      </c>
      <c r="C17" s="219">
        <f>SUM(C13:C15)</f>
        <v>357.57</v>
      </c>
      <c r="D17" s="219">
        <f>SUM(D13:D15)</f>
        <v>223.55</v>
      </c>
      <c r="E17" s="219">
        <f>SUM(E13:E15)</f>
        <v>40.25</v>
      </c>
      <c r="F17" s="219">
        <f>SUM(F13:F15)</f>
        <v>82.63</v>
      </c>
      <c r="G17" s="219">
        <v>3.25</v>
      </c>
      <c r="H17" s="219">
        <f>SUM(H13:H15)</f>
        <v>118.72</v>
      </c>
      <c r="I17" s="215"/>
      <c r="J17" s="212"/>
      <c r="K17" s="219">
        <v>45.2</v>
      </c>
      <c r="L17" s="211"/>
      <c r="M17" s="211"/>
      <c r="N17" s="211"/>
      <c r="O17" s="211"/>
      <c r="P17" s="211"/>
      <c r="Q17" s="211"/>
      <c r="R17" s="211"/>
      <c r="S17" s="211"/>
      <c r="T17" s="21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</row>
    <row r="18" spans="1:49" x14ac:dyDescent="0.25">
      <c r="A18" s="41" t="s">
        <v>136</v>
      </c>
      <c r="B18" s="48" t="s">
        <v>2542</v>
      </c>
      <c r="C18" s="41"/>
      <c r="D18" s="41"/>
      <c r="E18" s="41"/>
      <c r="F18" s="41"/>
      <c r="G18" s="41"/>
      <c r="H18" s="41"/>
      <c r="I18" s="41"/>
      <c r="J18" s="43"/>
      <c r="K18" s="41"/>
      <c r="L18" s="211"/>
      <c r="M18" s="211"/>
      <c r="N18" s="211"/>
      <c r="O18" s="211"/>
      <c r="P18" s="211"/>
      <c r="Q18" s="211"/>
      <c r="R18" s="211"/>
      <c r="S18" s="211"/>
      <c r="T18" s="21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</row>
    <row r="19" spans="1:49" x14ac:dyDescent="0.25">
      <c r="A19" s="41" t="s">
        <v>342</v>
      </c>
      <c r="B19" s="41" t="s">
        <v>2543</v>
      </c>
      <c r="C19" s="41">
        <v>282.86</v>
      </c>
      <c r="D19" s="41">
        <v>263.25</v>
      </c>
      <c r="E19" s="41">
        <v>25.75</v>
      </c>
      <c r="F19" s="209">
        <v>48.2</v>
      </c>
      <c r="G19" s="41"/>
      <c r="H19" s="41"/>
      <c r="I19" s="41">
        <v>277.85000000000002</v>
      </c>
      <c r="J19" s="43">
        <v>277.85000000000002</v>
      </c>
      <c r="K19" s="41"/>
      <c r="L19" s="211"/>
      <c r="M19" s="211"/>
      <c r="N19" s="211"/>
      <c r="O19" s="211"/>
      <c r="P19" s="211"/>
      <c r="Q19" s="211"/>
      <c r="R19" s="211"/>
      <c r="S19" s="211"/>
      <c r="T19" s="21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</row>
    <row r="20" spans="1:49" x14ac:dyDescent="0.25">
      <c r="A20" s="41" t="s">
        <v>345</v>
      </c>
      <c r="B20" s="41" t="s">
        <v>2544</v>
      </c>
      <c r="C20" s="41">
        <v>188.96</v>
      </c>
      <c r="D20" s="41">
        <v>182.46</v>
      </c>
      <c r="E20" s="209">
        <v>13</v>
      </c>
      <c r="F20" s="41">
        <v>59.17</v>
      </c>
      <c r="G20" s="41"/>
      <c r="H20" s="41"/>
      <c r="I20" s="41">
        <v>186.72</v>
      </c>
      <c r="J20" s="43">
        <v>186.72</v>
      </c>
      <c r="K20" s="41"/>
      <c r="L20" s="211"/>
      <c r="M20" s="211"/>
      <c r="N20" s="211"/>
      <c r="O20" s="211"/>
      <c r="P20" s="211"/>
      <c r="Q20" s="211"/>
      <c r="R20" s="211"/>
      <c r="S20" s="211"/>
      <c r="T20" s="21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</row>
    <row r="21" spans="1:49" x14ac:dyDescent="0.25">
      <c r="A21" s="41" t="s">
        <v>347</v>
      </c>
      <c r="B21" s="41" t="s">
        <v>2545</v>
      </c>
      <c r="C21" s="41"/>
      <c r="D21" s="41"/>
      <c r="E21" s="41"/>
      <c r="F21" s="41"/>
      <c r="G21" s="41"/>
      <c r="H21" s="41"/>
      <c r="I21" s="209">
        <v>7.9</v>
      </c>
      <c r="J21" s="217">
        <v>7.9</v>
      </c>
      <c r="K21" s="41"/>
      <c r="L21" s="211"/>
      <c r="M21" s="211"/>
      <c r="N21" s="211"/>
      <c r="O21" s="211"/>
      <c r="P21" s="211"/>
      <c r="Q21" s="211"/>
      <c r="R21" s="211"/>
      <c r="S21" s="211"/>
      <c r="T21" s="21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</row>
    <row r="22" spans="1:49" x14ac:dyDescent="0.25">
      <c r="A22" s="41" t="s">
        <v>350</v>
      </c>
      <c r="B22" s="41" t="s">
        <v>2546</v>
      </c>
      <c r="C22" s="41"/>
      <c r="D22" s="41"/>
      <c r="E22" s="41"/>
      <c r="F22" s="41"/>
      <c r="G22" s="41"/>
      <c r="H22" s="41"/>
      <c r="I22" s="209">
        <v>10.3</v>
      </c>
      <c r="J22" s="217">
        <v>10.3</v>
      </c>
      <c r="K22" s="41"/>
      <c r="L22" s="211"/>
      <c r="M22" s="211"/>
      <c r="N22" s="211"/>
      <c r="O22" s="211"/>
      <c r="P22" s="211"/>
      <c r="Q22" s="211"/>
      <c r="R22" s="211"/>
      <c r="S22" s="211"/>
      <c r="T22" s="21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</row>
    <row r="23" spans="1:49" x14ac:dyDescent="0.25">
      <c r="A23" s="41" t="s">
        <v>353</v>
      </c>
      <c r="B23" s="41" t="s">
        <v>2547</v>
      </c>
      <c r="C23" s="41">
        <v>131.81</v>
      </c>
      <c r="D23" s="41">
        <v>119.42</v>
      </c>
      <c r="E23" s="41">
        <v>23.05</v>
      </c>
      <c r="F23" s="209">
        <v>53.1</v>
      </c>
      <c r="G23" s="41"/>
      <c r="H23" s="41"/>
      <c r="I23" s="209">
        <v>102.6</v>
      </c>
      <c r="J23" s="43">
        <v>102.6</v>
      </c>
      <c r="K23" s="41"/>
      <c r="L23" s="211"/>
      <c r="M23" s="211"/>
      <c r="N23" s="211"/>
      <c r="O23" s="211"/>
      <c r="P23" s="211"/>
      <c r="Q23" s="211"/>
      <c r="R23" s="211"/>
      <c r="S23" s="211"/>
      <c r="T23" s="21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</row>
    <row r="24" spans="1:49" x14ac:dyDescent="0.25">
      <c r="A24" s="41" t="s">
        <v>358</v>
      </c>
      <c r="B24" s="41" t="s">
        <v>2548</v>
      </c>
      <c r="C24" s="209">
        <v>45.72</v>
      </c>
      <c r="D24" s="209">
        <v>42.8</v>
      </c>
      <c r="E24" s="209">
        <v>7.3</v>
      </c>
      <c r="F24" s="41">
        <v>26.82</v>
      </c>
      <c r="G24" s="41"/>
      <c r="H24" s="41"/>
      <c r="I24" s="209">
        <v>52.9</v>
      </c>
      <c r="J24" s="217">
        <v>52.9</v>
      </c>
      <c r="K24" s="41"/>
      <c r="L24" s="211"/>
      <c r="M24" s="211"/>
      <c r="N24" s="211"/>
      <c r="O24" s="211"/>
      <c r="P24" s="211"/>
      <c r="Q24" s="211"/>
      <c r="R24" s="211"/>
      <c r="S24" s="211"/>
      <c r="T24" s="21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</row>
    <row r="25" spans="1:49" x14ac:dyDescent="0.25">
      <c r="A25" s="41" t="s">
        <v>360</v>
      </c>
      <c r="B25" s="41" t="s">
        <v>2549</v>
      </c>
      <c r="C25" s="41">
        <v>74.05</v>
      </c>
      <c r="D25" s="209">
        <v>70</v>
      </c>
      <c r="E25" s="209">
        <v>8.1999999999999993</v>
      </c>
      <c r="F25" s="41">
        <v>33.35</v>
      </c>
      <c r="G25" s="41"/>
      <c r="H25" s="41"/>
      <c r="I25" s="41">
        <v>74.459999999999994</v>
      </c>
      <c r="J25" s="43">
        <v>74.459999999999994</v>
      </c>
      <c r="K25" s="41"/>
      <c r="L25" s="211"/>
      <c r="M25" s="211"/>
      <c r="N25" s="211"/>
      <c r="O25" s="211"/>
      <c r="P25" s="211"/>
      <c r="Q25" s="211"/>
      <c r="R25" s="211"/>
      <c r="S25" s="211"/>
      <c r="T25" s="21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</row>
    <row r="26" spans="1:49" x14ac:dyDescent="0.25">
      <c r="A26" s="41" t="s">
        <v>362</v>
      </c>
      <c r="B26" s="41" t="s">
        <v>2550</v>
      </c>
      <c r="C26" s="209">
        <v>55.9</v>
      </c>
      <c r="D26" s="41">
        <v>45.68</v>
      </c>
      <c r="E26" s="41">
        <v>12.76</v>
      </c>
      <c r="F26" s="41">
        <v>20.62</v>
      </c>
      <c r="G26" s="41"/>
      <c r="H26" s="41"/>
      <c r="I26" s="41">
        <v>55.25</v>
      </c>
      <c r="J26" s="43">
        <v>55.25</v>
      </c>
      <c r="K26" s="41"/>
      <c r="L26" s="211"/>
      <c r="M26" s="211"/>
      <c r="N26" s="211"/>
      <c r="O26" s="211"/>
      <c r="P26" s="211"/>
      <c r="Q26" s="211"/>
      <c r="R26" s="211"/>
      <c r="S26" s="211"/>
      <c r="T26" s="21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</row>
    <row r="27" spans="1:49" s="131" customFormat="1" x14ac:dyDescent="0.25">
      <c r="A27" s="43" t="s">
        <v>365</v>
      </c>
      <c r="B27" s="43" t="s">
        <v>2551</v>
      </c>
      <c r="C27" s="43">
        <v>51.32</v>
      </c>
      <c r="D27" s="43">
        <v>47.02</v>
      </c>
      <c r="E27" s="43">
        <v>12.77</v>
      </c>
      <c r="F27" s="43">
        <v>19.37</v>
      </c>
      <c r="G27" s="43"/>
      <c r="H27" s="43"/>
      <c r="I27" s="43">
        <v>57.55</v>
      </c>
      <c r="J27" s="43">
        <v>57.55</v>
      </c>
      <c r="K27" s="43"/>
      <c r="L27" s="211"/>
      <c r="M27" s="211"/>
      <c r="N27" s="211"/>
      <c r="O27" s="211"/>
      <c r="P27" s="211"/>
      <c r="Q27" s="211"/>
      <c r="R27" s="211"/>
      <c r="S27" s="211"/>
      <c r="T27" s="211"/>
    </row>
    <row r="28" spans="1:49" x14ac:dyDescent="0.25">
      <c r="A28" s="41"/>
      <c r="B28" s="41"/>
      <c r="C28" s="41"/>
      <c r="D28" s="41"/>
      <c r="E28" s="41"/>
      <c r="F28" s="41"/>
      <c r="G28" s="41"/>
      <c r="H28" s="41"/>
      <c r="I28" s="41"/>
      <c r="J28" s="43"/>
      <c r="K28" s="41"/>
      <c r="L28" s="211"/>
      <c r="M28" s="211"/>
      <c r="N28" s="211"/>
      <c r="O28" s="211"/>
      <c r="P28" s="211"/>
      <c r="Q28" s="211"/>
      <c r="R28" s="211"/>
      <c r="S28" s="211"/>
      <c r="T28" s="21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</row>
    <row r="29" spans="1:49" s="220" customFormat="1" ht="18.75" x14ac:dyDescent="0.3">
      <c r="A29" s="210"/>
      <c r="B29" s="218" t="s">
        <v>2526</v>
      </c>
      <c r="C29" s="219">
        <f>SUM(C19:C27)</f>
        <v>830.62000000000012</v>
      </c>
      <c r="D29" s="219">
        <f>SUM(D19:D27)</f>
        <v>770.62999999999988</v>
      </c>
      <c r="E29" s="219">
        <f>SUM(E19:E27)</f>
        <v>102.83</v>
      </c>
      <c r="F29" s="219">
        <f>SUM(F19:F27)</f>
        <v>260.63</v>
      </c>
      <c r="G29" s="210"/>
      <c r="H29" s="210"/>
      <c r="I29" s="219">
        <f>SUM(I19:I27)</f>
        <v>825.53</v>
      </c>
      <c r="J29" s="214">
        <f>SUM(J19:J27)</f>
        <v>825.53</v>
      </c>
      <c r="K29" s="210"/>
      <c r="L29" s="211"/>
      <c r="M29" s="211"/>
      <c r="N29" s="211"/>
      <c r="O29" s="211"/>
      <c r="P29" s="211"/>
      <c r="Q29" s="211"/>
      <c r="R29" s="211"/>
      <c r="S29" s="211"/>
      <c r="T29" s="21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</row>
    <row r="30" spans="1:49" x14ac:dyDescent="0.25"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</row>
    <row r="31" spans="1:49" x14ac:dyDescent="0.25"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</row>
    <row r="32" spans="1:49" x14ac:dyDescent="0.25"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</row>
    <row r="33" spans="12:49" x14ac:dyDescent="0.25"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</row>
  </sheetData>
  <mergeCells count="1">
    <mergeCell ref="A1:K1"/>
  </mergeCells>
  <pageMargins left="0.51181102362204722" right="0.51181102362204722" top="0.78740157480314965" bottom="0.78740157480314965" header="0.31496062992125984" footer="0.31496062992125984"/>
  <pageSetup paperSize="9" scale="66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B1:AJ651"/>
  <sheetViews>
    <sheetView zoomScale="80" zoomScaleNormal="80" workbookViewId="0">
      <pane xSplit="1" ySplit="9" topLeftCell="B592" activePane="bottomRight" state="frozen"/>
      <selection pane="topRight" activeCell="B1" sqref="B1"/>
      <selection pane="bottomLeft" activeCell="A10" sqref="A10"/>
      <selection pane="bottomRight" activeCell="M6" sqref="M6:N6"/>
    </sheetView>
  </sheetViews>
  <sheetFormatPr defaultRowHeight="15.75" outlineLevelRow="1" x14ac:dyDescent="0.25"/>
  <cols>
    <col min="1" max="1" width="1.125" style="169" customWidth="1"/>
    <col min="2" max="2" width="48.875" style="169" customWidth="1"/>
    <col min="3" max="3" width="8.5" style="169" customWidth="1"/>
    <col min="4" max="4" width="10.25" style="169" bestFit="1" customWidth="1"/>
    <col min="5" max="6" width="7.5" style="169" customWidth="1"/>
    <col min="7" max="7" width="7.375" style="169" customWidth="1"/>
    <col min="8" max="8" width="9.375" style="169" customWidth="1"/>
    <col min="9" max="9" width="3.75" style="170" bestFit="1" customWidth="1"/>
    <col min="10" max="10" width="9.875" style="169" customWidth="1"/>
    <col min="11" max="11" width="3.75" style="169" customWidth="1"/>
    <col min="12" max="12" width="9.875" style="169" customWidth="1"/>
    <col min="13" max="13" width="3.75" style="169" customWidth="1"/>
    <col min="14" max="14" width="9.875" style="169" customWidth="1"/>
    <col min="15" max="15" width="3.75" style="169" customWidth="1"/>
    <col min="16" max="16" width="9.875" style="169" customWidth="1"/>
    <col min="17" max="17" width="3.75" style="169" customWidth="1"/>
    <col min="18" max="18" width="9.875" style="169" customWidth="1"/>
    <col min="19" max="19" width="11" style="169" customWidth="1"/>
    <col min="20" max="20" width="3.75" style="169" bestFit="1" customWidth="1"/>
    <col min="21" max="21" width="9.875" style="169" customWidth="1"/>
    <col min="22" max="22" width="3.75" style="169" bestFit="1" customWidth="1"/>
    <col min="23" max="23" width="9.875" style="169" customWidth="1"/>
    <col min="24" max="24" width="3.75" style="169" bestFit="1" customWidth="1"/>
    <col min="25" max="25" width="9.875" style="169" customWidth="1"/>
    <col min="26" max="26" width="14" style="169" customWidth="1"/>
    <col min="27" max="27" width="3.75" style="169" bestFit="1" customWidth="1"/>
    <col min="28" max="28" width="9.875" style="169" customWidth="1"/>
    <col min="29" max="29" width="3.75" style="169" bestFit="1" customWidth="1"/>
    <col min="30" max="30" width="9.875" style="169" customWidth="1"/>
    <col min="31" max="31" width="3.75" style="169" bestFit="1" customWidth="1"/>
    <col min="32" max="32" width="9.875" style="169" customWidth="1"/>
    <col min="33" max="33" width="5.25" style="171" customWidth="1"/>
    <col min="34" max="34" width="9.375" style="169" bestFit="1" customWidth="1"/>
    <col min="35" max="35" width="9" style="169"/>
    <col min="36" max="36" width="11.125" style="169" bestFit="1" customWidth="1"/>
    <col min="37" max="16384" width="9" style="169"/>
  </cols>
  <sheetData>
    <row r="1" spans="2:35" ht="7.5" customHeight="1" x14ac:dyDescent="0.25"/>
    <row r="2" spans="2:35" ht="20.25" customHeight="1" x14ac:dyDescent="0.25">
      <c r="B2" s="901" t="s">
        <v>2552</v>
      </c>
      <c r="C2" s="902"/>
      <c r="D2" s="902"/>
      <c r="E2" s="902"/>
      <c r="F2" s="902"/>
      <c r="G2" s="902"/>
      <c r="H2" s="903"/>
      <c r="I2" s="911" t="s">
        <v>2553</v>
      </c>
      <c r="J2" s="912"/>
      <c r="K2" s="912"/>
      <c r="L2" s="912"/>
      <c r="M2" s="912"/>
      <c r="N2" s="913"/>
      <c r="O2" s="914" t="s">
        <v>2554</v>
      </c>
      <c r="P2" s="915"/>
      <c r="Q2" s="915"/>
      <c r="R2" s="916"/>
      <c r="S2" s="918" t="s">
        <v>2555</v>
      </c>
      <c r="T2" s="947" t="s">
        <v>2337</v>
      </c>
      <c r="U2" s="948"/>
      <c r="V2" s="948"/>
      <c r="W2" s="948"/>
      <c r="X2" s="948"/>
      <c r="Y2" s="949"/>
      <c r="Z2" s="943" t="s">
        <v>2556</v>
      </c>
      <c r="AA2" s="921" t="s">
        <v>2557</v>
      </c>
      <c r="AB2" s="946"/>
      <c r="AC2" s="946"/>
      <c r="AD2" s="946"/>
      <c r="AE2" s="946"/>
      <c r="AF2" s="922"/>
    </row>
    <row r="3" spans="2:35" ht="31.5" customHeight="1" x14ac:dyDescent="0.25">
      <c r="B3" s="904"/>
      <c r="C3" s="905"/>
      <c r="D3" s="905"/>
      <c r="E3" s="905"/>
      <c r="F3" s="905"/>
      <c r="G3" s="905"/>
      <c r="H3" s="906"/>
      <c r="I3" s="937" t="s">
        <v>2558</v>
      </c>
      <c r="J3" s="938"/>
      <c r="K3" s="937" t="s">
        <v>2559</v>
      </c>
      <c r="L3" s="939"/>
      <c r="M3" s="911" t="s">
        <v>2560</v>
      </c>
      <c r="N3" s="913"/>
      <c r="O3" s="940" t="s">
        <v>2561</v>
      </c>
      <c r="P3" s="941"/>
      <c r="Q3" s="942" t="s">
        <v>2562</v>
      </c>
      <c r="R3" s="941"/>
      <c r="S3" s="919"/>
      <c r="T3" s="947" t="s">
        <v>2563</v>
      </c>
      <c r="U3" s="949"/>
      <c r="V3" s="951" t="s">
        <v>2564</v>
      </c>
      <c r="W3" s="952"/>
      <c r="X3" s="953" t="s">
        <v>2565</v>
      </c>
      <c r="Y3" s="952"/>
      <c r="Z3" s="944"/>
      <c r="AA3" s="921" t="s">
        <v>2566</v>
      </c>
      <c r="AB3" s="922"/>
      <c r="AC3" s="950" t="s">
        <v>2567</v>
      </c>
      <c r="AD3" s="900"/>
      <c r="AE3" s="899" t="s">
        <v>2568</v>
      </c>
      <c r="AF3" s="900"/>
      <c r="AG3" s="921" t="s">
        <v>2569</v>
      </c>
      <c r="AH3" s="922"/>
    </row>
    <row r="4" spans="2:35" ht="20.25" customHeight="1" x14ac:dyDescent="0.25">
      <c r="B4" s="907"/>
      <c r="C4" s="908"/>
      <c r="D4" s="908"/>
      <c r="E4" s="908"/>
      <c r="F4" s="908"/>
      <c r="G4" s="908"/>
      <c r="H4" s="909"/>
      <c r="I4" s="895">
        <f>SUBTOTAL(9,J12:J650)</f>
        <v>41334.760000000017</v>
      </c>
      <c r="J4" s="896"/>
      <c r="K4" s="895">
        <f>SUBTOTAL(9,L12:L650)</f>
        <v>12572.231000000007</v>
      </c>
      <c r="L4" s="896"/>
      <c r="M4" s="935">
        <f>SUBTOTAL(9,N12:N650)</f>
        <v>28762.529000000039</v>
      </c>
      <c r="N4" s="936"/>
      <c r="O4" s="895">
        <f>SUBTOTAL(9,P12:P650)</f>
        <v>12620.579000000007</v>
      </c>
      <c r="P4" s="896"/>
      <c r="Q4" s="895">
        <f>SUBTOTAL(9,R12:R650)</f>
        <v>22</v>
      </c>
      <c r="R4" s="896"/>
      <c r="S4" s="920"/>
      <c r="T4" s="895">
        <f>SUBTOTAL(9,U12:U650)</f>
        <v>25048.919000000016</v>
      </c>
      <c r="U4" s="896"/>
      <c r="V4" s="895">
        <f>SUBTOTAL(9,W12:W650)</f>
        <v>3089.3700000000003</v>
      </c>
      <c r="W4" s="896"/>
      <c r="X4" s="895">
        <f>SUBTOTAL(9,Y12:Y650)</f>
        <v>624.24</v>
      </c>
      <c r="Y4" s="896"/>
      <c r="Z4" s="945"/>
      <c r="AA4" s="923">
        <f>SUBTOTAL(9,AB12:AB650)</f>
        <v>7541.204999999999</v>
      </c>
      <c r="AB4" s="924"/>
      <c r="AC4" s="923">
        <f>SUBTOTAL(9,AD12:AD650)</f>
        <v>2528.3200000000006</v>
      </c>
      <c r="AD4" s="924"/>
      <c r="AE4" s="923">
        <f>SUBTOTAL(9,AF12:AF650)</f>
        <v>125.02</v>
      </c>
      <c r="AF4" s="924"/>
      <c r="AG4" s="923">
        <f>SUBTOTAL(9,AH12:AH650)</f>
        <v>7165.2100000000019</v>
      </c>
      <c r="AH4" s="924"/>
    </row>
    <row r="5" spans="2:35" ht="20.25" customHeight="1" x14ac:dyDescent="0.25">
      <c r="B5" s="206"/>
      <c r="C5" s="653"/>
      <c r="D5" s="653"/>
      <c r="E5" s="653"/>
      <c r="F5" s="653"/>
      <c r="G5" s="653"/>
      <c r="H5" s="205" t="s">
        <v>3543</v>
      </c>
      <c r="I5" s="895">
        <f>SUBTOTAL(9,J12:J523,J632:J649)</f>
        <v>36288.19000000001</v>
      </c>
      <c r="J5" s="896"/>
      <c r="K5" s="895">
        <f>SUBTOTAL(9,L12:L523)</f>
        <v>4782.3510000000024</v>
      </c>
      <c r="L5" s="896"/>
      <c r="M5" s="895">
        <f>SUBTOTAL(9,N12:N523,N632:N649)</f>
        <v>24553.124000000011</v>
      </c>
      <c r="N5" s="896"/>
      <c r="O5" s="895">
        <f>SUBTOTAL(9,P12:P523,P632:P649)</f>
        <v>11749.414000000001</v>
      </c>
      <c r="P5" s="896"/>
      <c r="Q5" s="895">
        <f>SUBTOTAL(9,R12:R523,R632:R649)</f>
        <v>22</v>
      </c>
      <c r="R5" s="896"/>
      <c r="S5" s="203"/>
      <c r="T5" s="895">
        <f>SUBTOTAL(9,U12:U523,U632:U649)</f>
        <v>20964.764000000003</v>
      </c>
      <c r="U5" s="896"/>
      <c r="V5" s="895">
        <f>SUBTOTAL(9,W12:W523,W632:W649)</f>
        <v>3089.3700000000003</v>
      </c>
      <c r="W5" s="896"/>
      <c r="X5" s="895">
        <f>SUBTOTAL(9,Y12:Y523,Y632:Y649)</f>
        <v>498.99</v>
      </c>
      <c r="Y5" s="896"/>
      <c r="Z5" s="204"/>
      <c r="AA5" s="895">
        <f>SUBTOTAL(9,AB12:AB523,AB632:AB649)</f>
        <v>6518.1949999999988</v>
      </c>
      <c r="AB5" s="896"/>
      <c r="AC5" s="895">
        <f>SUBTOTAL(9,AD12:AD523,AD632:AD649)</f>
        <v>1998.0600000000002</v>
      </c>
      <c r="AD5" s="896"/>
      <c r="AE5" s="895">
        <f>SUBTOTAL(9,AF12:AF523,AF632:AF649)</f>
        <v>87.08</v>
      </c>
      <c r="AF5" s="896"/>
      <c r="AG5" s="895">
        <f>SUBTOTAL(9,AH12:AH523,AH632:AH649)</f>
        <v>5881.670000000001</v>
      </c>
      <c r="AH5" s="896"/>
    </row>
    <row r="6" spans="2:35" ht="20.25" customHeight="1" x14ac:dyDescent="0.25">
      <c r="B6" s="653"/>
      <c r="C6" s="653"/>
      <c r="D6" s="653"/>
      <c r="E6" s="653"/>
      <c r="F6" s="653"/>
      <c r="G6" s="653"/>
      <c r="H6" s="205" t="s">
        <v>3542</v>
      </c>
      <c r="I6" s="895">
        <f>SUBTOTAL(9,J13:J524,J633:J650)</f>
        <v>36288.19000000001</v>
      </c>
      <c r="J6" s="896"/>
      <c r="K6" s="895">
        <f>SUBTOTAL(9,L633:L650)</f>
        <v>6952.7149999999992</v>
      </c>
      <c r="L6" s="896"/>
      <c r="M6" s="895">
        <f>SUBTOTAL(9,N13:N524,N633:N650)</f>
        <v>24553.124000000011</v>
      </c>
      <c r="N6" s="896"/>
      <c r="O6" s="895">
        <f>SUBTOTAL(9,P13:P524,P633:P650)</f>
        <v>11749.414000000001</v>
      </c>
      <c r="P6" s="896"/>
      <c r="Q6" s="895">
        <f>SUBTOTAL(9,R13:R524,R633:R650)</f>
        <v>22</v>
      </c>
      <c r="R6" s="896"/>
      <c r="S6" s="203"/>
      <c r="T6" s="895">
        <f>SUBTOTAL(9,U13:U524,U633:U650)</f>
        <v>20964.764000000003</v>
      </c>
      <c r="U6" s="896"/>
      <c r="V6" s="895">
        <f>SUBTOTAL(9,W13:W524,W633:W650)</f>
        <v>3089.3700000000003</v>
      </c>
      <c r="W6" s="896"/>
      <c r="X6" s="895">
        <f>SUBTOTAL(9,Y13:Y524,Y633:Y650)</f>
        <v>498.99</v>
      </c>
      <c r="Y6" s="896"/>
      <c r="Z6" s="204"/>
      <c r="AA6" s="895">
        <f>SUBTOTAL(9,AB13:AB524,AB633:AB650)</f>
        <v>6518.1949999999988</v>
      </c>
      <c r="AB6" s="896"/>
      <c r="AC6" s="895">
        <f>SUBTOTAL(9,AD13:AD524,AD633:AD650)</f>
        <v>1998.0600000000002</v>
      </c>
      <c r="AD6" s="896"/>
      <c r="AE6" s="895">
        <f>SUBTOTAL(9,AF13:AF524,AF633:AF650)</f>
        <v>87.08</v>
      </c>
      <c r="AF6" s="896"/>
      <c r="AG6" s="895">
        <f>SUBTOTAL(9,AH13:AH524,AH633:AH650)</f>
        <v>5881.670000000001</v>
      </c>
      <c r="AH6" s="896"/>
    </row>
    <row r="7" spans="2:35" ht="16.5" x14ac:dyDescent="0.25">
      <c r="B7" s="172"/>
      <c r="C7" s="172"/>
      <c r="D7" s="172"/>
      <c r="E7" s="172"/>
      <c r="F7" s="172"/>
      <c r="G7" s="172"/>
      <c r="H7" s="172"/>
      <c r="I7" s="173"/>
      <c r="J7" s="172"/>
      <c r="K7" s="172"/>
      <c r="L7" s="172"/>
      <c r="M7" s="172"/>
      <c r="N7" s="172"/>
      <c r="O7" s="172"/>
      <c r="P7" s="172"/>
      <c r="Q7" s="172"/>
      <c r="R7" s="172"/>
      <c r="S7" s="172"/>
      <c r="T7" s="172"/>
      <c r="U7" s="172"/>
      <c r="V7" s="172"/>
      <c r="W7" s="172"/>
      <c r="X7" s="172"/>
      <c r="Y7" s="172"/>
      <c r="Z7" s="172"/>
      <c r="AA7" s="172"/>
      <c r="AB7" s="172"/>
      <c r="AC7" s="172"/>
      <c r="AD7" s="172"/>
      <c r="AE7" s="172"/>
      <c r="AF7" s="172"/>
      <c r="AG7" s="337"/>
    </row>
    <row r="8" spans="2:35" ht="15.75" customHeight="1" x14ac:dyDescent="0.25">
      <c r="B8" s="910" t="s">
        <v>2570</v>
      </c>
      <c r="C8" s="910" t="s">
        <v>198</v>
      </c>
      <c r="D8" s="910" t="s">
        <v>2571</v>
      </c>
      <c r="E8" s="910" t="s">
        <v>2572</v>
      </c>
      <c r="F8" s="910"/>
      <c r="G8" s="910"/>
      <c r="H8" s="910" t="s">
        <v>2573</v>
      </c>
      <c r="I8" s="897" t="s">
        <v>2574</v>
      </c>
      <c r="J8" s="917"/>
      <c r="K8" s="917"/>
      <c r="L8" s="917"/>
      <c r="M8" s="917"/>
      <c r="N8" s="917"/>
      <c r="O8" s="917"/>
      <c r="P8" s="917"/>
      <c r="Q8" s="917"/>
      <c r="R8" s="917"/>
      <c r="S8" s="917"/>
      <c r="T8" s="917"/>
      <c r="U8" s="917"/>
      <c r="V8" s="917"/>
      <c r="W8" s="917"/>
      <c r="X8" s="917"/>
      <c r="Y8" s="917"/>
      <c r="Z8" s="917"/>
      <c r="AA8" s="917"/>
      <c r="AB8" s="917"/>
      <c r="AC8" s="917"/>
      <c r="AD8" s="917"/>
      <c r="AE8" s="917"/>
      <c r="AF8" s="898"/>
      <c r="AG8" s="925" t="s">
        <v>2569</v>
      </c>
      <c r="AH8" s="926"/>
    </row>
    <row r="9" spans="2:35" ht="15.75" customHeight="1" x14ac:dyDescent="0.25">
      <c r="B9" s="910"/>
      <c r="C9" s="910"/>
      <c r="D9" s="910"/>
      <c r="E9" s="652" t="s">
        <v>2575</v>
      </c>
      <c r="F9" s="652" t="s">
        <v>2576</v>
      </c>
      <c r="G9" s="652" t="s">
        <v>2577</v>
      </c>
      <c r="H9" s="910"/>
      <c r="I9" s="897" t="s">
        <v>2558</v>
      </c>
      <c r="J9" s="898"/>
      <c r="K9" s="897" t="s">
        <v>2559</v>
      </c>
      <c r="L9" s="898"/>
      <c r="M9" s="897" t="s">
        <v>2560</v>
      </c>
      <c r="N9" s="898"/>
      <c r="O9" s="897" t="s">
        <v>2561</v>
      </c>
      <c r="P9" s="898"/>
      <c r="Q9" s="897" t="s">
        <v>2562</v>
      </c>
      <c r="R9" s="898"/>
      <c r="S9" s="202" t="s">
        <v>2555</v>
      </c>
      <c r="T9" s="897" t="s">
        <v>2578</v>
      </c>
      <c r="U9" s="898"/>
      <c r="V9" s="897" t="s">
        <v>2579</v>
      </c>
      <c r="W9" s="898"/>
      <c r="X9" s="897" t="s">
        <v>2580</v>
      </c>
      <c r="Y9" s="898"/>
      <c r="Z9" s="202" t="s">
        <v>2556</v>
      </c>
      <c r="AA9" s="897" t="s">
        <v>2581</v>
      </c>
      <c r="AB9" s="898"/>
      <c r="AC9" s="897" t="s">
        <v>2582</v>
      </c>
      <c r="AD9" s="898"/>
      <c r="AE9" s="897" t="s">
        <v>2583</v>
      </c>
      <c r="AF9" s="898"/>
      <c r="AG9" s="927"/>
      <c r="AH9" s="928"/>
    </row>
    <row r="10" spans="2:35" ht="16.5" x14ac:dyDescent="0.25">
      <c r="B10" s="172"/>
      <c r="C10" s="172"/>
      <c r="D10" s="172"/>
      <c r="E10" s="172"/>
      <c r="F10" s="172"/>
      <c r="G10" s="172"/>
      <c r="H10" s="172"/>
      <c r="I10" s="173"/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</row>
    <row r="11" spans="2:35" ht="16.5" x14ac:dyDescent="0.25">
      <c r="B11" s="195" t="s">
        <v>2584</v>
      </c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7"/>
      <c r="S11" s="196"/>
      <c r="T11" s="196"/>
      <c r="U11" s="196"/>
      <c r="V11" s="196"/>
      <c r="W11" s="196"/>
      <c r="X11" s="196"/>
      <c r="Y11" s="197"/>
      <c r="Z11" s="196"/>
      <c r="AA11" s="196"/>
      <c r="AB11" s="196"/>
      <c r="AC11" s="196"/>
      <c r="AD11" s="196"/>
      <c r="AE11" s="196"/>
      <c r="AF11" s="197"/>
      <c r="AG11" s="196"/>
      <c r="AH11" s="197"/>
    </row>
    <row r="12" spans="2:35" ht="16.5" x14ac:dyDescent="0.25">
      <c r="B12" s="932" t="s">
        <v>2585</v>
      </c>
      <c r="C12" s="933"/>
      <c r="D12" s="933"/>
      <c r="E12" s="933"/>
      <c r="F12" s="933"/>
      <c r="G12" s="933"/>
      <c r="H12" s="934"/>
      <c r="I12" s="190" t="s">
        <v>2586</v>
      </c>
      <c r="J12" s="191">
        <f>SUBTOTAL(9,J13:J37)</f>
        <v>898.53000000000009</v>
      </c>
      <c r="K12" s="190" t="s">
        <v>2586</v>
      </c>
      <c r="L12" s="191">
        <f>SUBTOTAL(9,L13:L37)</f>
        <v>43.029000000000003</v>
      </c>
      <c r="M12" s="190" t="s">
        <v>2586</v>
      </c>
      <c r="N12" s="200">
        <f>SUBTOTAL(9,N13:N37)</f>
        <v>855.50100000000009</v>
      </c>
      <c r="O12" s="190" t="s">
        <v>2586</v>
      </c>
      <c r="P12" s="191">
        <f>SUBTOTAL(9,P13:P37)</f>
        <v>45.029000000000003</v>
      </c>
      <c r="Q12" s="190" t="s">
        <v>2586</v>
      </c>
      <c r="R12" s="191">
        <f>SUBTOTAL(9,R13:R37)</f>
        <v>0</v>
      </c>
      <c r="S12" s="191"/>
      <c r="T12" s="190" t="s">
        <v>2586</v>
      </c>
      <c r="U12" s="191">
        <f>SUBTOTAL(9,U13:U37)</f>
        <v>641.15099999999995</v>
      </c>
      <c r="V12" s="190" t="s">
        <v>2586</v>
      </c>
      <c r="W12" s="191">
        <f>SUBTOTAL(9,W13:W37)</f>
        <v>214.35</v>
      </c>
      <c r="X12" s="190" t="s">
        <v>2586</v>
      </c>
      <c r="Y12" s="191">
        <f>SUBTOTAL(9,Y13:Y37)</f>
        <v>0</v>
      </c>
      <c r="Z12" s="191"/>
      <c r="AA12" s="190" t="s">
        <v>2586</v>
      </c>
      <c r="AB12" s="191">
        <f>SUBTOTAL(9,AB13:AB37)</f>
        <v>223.58000000000004</v>
      </c>
      <c r="AC12" s="190" t="s">
        <v>2586</v>
      </c>
      <c r="AD12" s="191">
        <f>SUBTOTAL(9,AD13:AD37)</f>
        <v>0</v>
      </c>
      <c r="AE12" s="190" t="s">
        <v>2586</v>
      </c>
      <c r="AF12" s="191">
        <f>SUBTOTAL(9,AF13:AF37)</f>
        <v>0</v>
      </c>
      <c r="AG12" s="190" t="s">
        <v>2586</v>
      </c>
      <c r="AH12" s="191">
        <f>SUBTOTAL(9,AH13:AH37)</f>
        <v>279.02</v>
      </c>
    </row>
    <row r="13" spans="2:35" ht="16.5" outlineLevel="1" x14ac:dyDescent="0.25">
      <c r="B13" s="175" t="s">
        <v>2587</v>
      </c>
      <c r="C13" s="176">
        <v>7.88</v>
      </c>
      <c r="D13" s="176">
        <v>11.5</v>
      </c>
      <c r="E13" s="193">
        <v>3</v>
      </c>
      <c r="F13" s="193">
        <v>0</v>
      </c>
      <c r="G13" s="193">
        <f>E13-F13</f>
        <v>3</v>
      </c>
      <c r="H13" s="177"/>
      <c r="I13" s="178" t="s">
        <v>2916</v>
      </c>
      <c r="J13" s="176">
        <f>IF(I13="X",($D13-H13)*E13,0)</f>
        <v>34.5</v>
      </c>
      <c r="K13" s="178" t="str">
        <f>IF($F13&gt;0,"X"," ")</f>
        <v xml:space="preserve"> </v>
      </c>
      <c r="L13" s="176">
        <f t="shared" ref="L13:L37" si="0">IF(K13="X",($D13-H13)*F13,0)</f>
        <v>0</v>
      </c>
      <c r="M13" s="178" t="str">
        <f>IF($E13&gt;0,"X"," ")</f>
        <v>X</v>
      </c>
      <c r="N13" s="177">
        <f>IF(M13="X",J13-L13,0)</f>
        <v>34.5</v>
      </c>
      <c r="O13" s="178" t="str">
        <f>IF($F13&gt;0,"X"," ")</f>
        <v xml:space="preserve"> </v>
      </c>
      <c r="P13" s="176">
        <f>IF(L13&gt;0,L13,0)</f>
        <v>0</v>
      </c>
      <c r="Q13" s="178" t="s">
        <v>0</v>
      </c>
      <c r="R13" s="176"/>
      <c r="S13" s="178" t="s">
        <v>2578</v>
      </c>
      <c r="T13" s="178" t="str">
        <f>IF($S13="ACRÍLICA","X"," ")</f>
        <v>X</v>
      </c>
      <c r="U13" s="176">
        <f>IF(T13="X",$N13,0)</f>
        <v>34.5</v>
      </c>
      <c r="V13" s="178" t="str">
        <f t="shared" ref="V13:V37" si="1">IF($S13="EPÓXI","X"," ")</f>
        <v xml:space="preserve"> </v>
      </c>
      <c r="W13" s="176">
        <f>IF(V13="X",$N13,0)</f>
        <v>0</v>
      </c>
      <c r="X13" s="178" t="str">
        <f>IF($S13="TEXTURA","X"," ")</f>
        <v xml:space="preserve"> </v>
      </c>
      <c r="Y13" s="176">
        <f>IF(X13="X",$N13,0)</f>
        <v>0</v>
      </c>
      <c r="Z13" s="178" t="s">
        <v>2581</v>
      </c>
      <c r="AA13" s="178" t="str">
        <f>IF($Z13="ACARTONADO","X"," ")</f>
        <v>X</v>
      </c>
      <c r="AB13" s="176">
        <f>IF(AA13="X",$C13,0)</f>
        <v>7.88</v>
      </c>
      <c r="AC13" s="178" t="str">
        <f t="shared" ref="AC13:AC37" si="2">IF($Z13="MINERAL","X"," ")</f>
        <v xml:space="preserve"> </v>
      </c>
      <c r="AD13" s="176">
        <f>IF(AC13="X",$C13,0)</f>
        <v>0</v>
      </c>
      <c r="AE13" s="178" t="str">
        <f>IF($Z13="LAJE","X"," ")</f>
        <v xml:space="preserve"> </v>
      </c>
      <c r="AF13" s="176">
        <f>IF(AE13="X",$C13,0)</f>
        <v>0</v>
      </c>
      <c r="AG13" s="178" t="str">
        <f>IF(K13="X","","X")</f>
        <v>X</v>
      </c>
      <c r="AH13" s="176">
        <f>IF(AG13="X",$D13-H13,0)</f>
        <v>11.5</v>
      </c>
    </row>
    <row r="14" spans="2:35" ht="16.5" outlineLevel="1" x14ac:dyDescent="0.25">
      <c r="B14" s="175" t="s">
        <v>2588</v>
      </c>
      <c r="C14" s="176">
        <v>7.76</v>
      </c>
      <c r="D14" s="176">
        <v>11.45</v>
      </c>
      <c r="E14" s="193">
        <v>3</v>
      </c>
      <c r="F14" s="193">
        <v>0</v>
      </c>
      <c r="G14" s="193">
        <f t="shared" ref="G14:G37" si="3">E14-F14</f>
        <v>3</v>
      </c>
      <c r="H14" s="177"/>
      <c r="I14" s="178" t="str">
        <f t="shared" ref="I14:I78" si="4">IF($E14&gt;0,"X"," ")</f>
        <v>X</v>
      </c>
      <c r="J14" s="176">
        <f t="shared" ref="J14:J37" si="5">IF(I14="X",($D14-H14)*E14,0)</f>
        <v>34.349999999999994</v>
      </c>
      <c r="K14" s="178" t="str">
        <f t="shared" ref="K14:K78" si="6">IF($F14&gt;0,"X"," ")</f>
        <v xml:space="preserve"> </v>
      </c>
      <c r="L14" s="176">
        <f t="shared" si="0"/>
        <v>0</v>
      </c>
      <c r="M14" s="178" t="str">
        <f t="shared" ref="M14:M78" si="7">IF($E14&gt;0,"X"," ")</f>
        <v>X</v>
      </c>
      <c r="N14" s="177">
        <f t="shared" ref="N14:N50" si="8">IF(M14="X",J14-L14,0)</f>
        <v>34.349999999999994</v>
      </c>
      <c r="O14" s="178" t="str">
        <f t="shared" ref="O14:O78" si="9">IF($F14&gt;0,"X"," ")</f>
        <v xml:space="preserve"> </v>
      </c>
      <c r="P14" s="176">
        <f t="shared" ref="P14:P37" si="10">IF(L14&gt;0,L14,0)</f>
        <v>0</v>
      </c>
      <c r="Q14" s="178" t="s">
        <v>0</v>
      </c>
      <c r="R14" s="176"/>
      <c r="S14" s="178" t="s">
        <v>2578</v>
      </c>
      <c r="T14" s="178" t="str">
        <f t="shared" ref="T14:T37" si="11">IF($S14="ACRÍLICA","X"," ")</f>
        <v>X</v>
      </c>
      <c r="U14" s="176">
        <f t="shared" ref="U14:U37" si="12">IF(T14="X",$N14,0)</f>
        <v>34.349999999999994</v>
      </c>
      <c r="V14" s="178" t="str">
        <f t="shared" si="1"/>
        <v xml:space="preserve"> </v>
      </c>
      <c r="W14" s="176">
        <f t="shared" ref="W14:W37" si="13">IF(V14="X",$N14,0)</f>
        <v>0</v>
      </c>
      <c r="X14" s="178" t="str">
        <f t="shared" ref="X14:X37" si="14">IF($S14="TEXTURA","X"," ")</f>
        <v xml:space="preserve"> </v>
      </c>
      <c r="Y14" s="176">
        <f t="shared" ref="Y14:Y37" si="15">IF(X14="X",$N14,0)</f>
        <v>0</v>
      </c>
      <c r="Z14" s="178" t="s">
        <v>2581</v>
      </c>
      <c r="AA14" s="178" t="str">
        <f t="shared" ref="AA14:AA37" si="16">IF($Z14="ACARTONADO","X"," ")</f>
        <v>X</v>
      </c>
      <c r="AB14" s="176">
        <f t="shared" ref="AB14:AB37" si="17">IF(AA14="X",$C14,0)</f>
        <v>7.76</v>
      </c>
      <c r="AC14" s="178" t="str">
        <f t="shared" si="2"/>
        <v xml:space="preserve"> </v>
      </c>
      <c r="AD14" s="176">
        <f t="shared" ref="AD14:AD37" si="18">IF(AC14="X",$C14,0)</f>
        <v>0</v>
      </c>
      <c r="AE14" s="178" t="str">
        <f t="shared" ref="AE14:AE37" si="19">IF($Z14="LAJE","X"," ")</f>
        <v xml:space="preserve"> </v>
      </c>
      <c r="AF14" s="176">
        <f t="shared" ref="AF14:AF37" si="20">IF(AE14="X",$C14,0)</f>
        <v>0</v>
      </c>
      <c r="AG14" s="178" t="str">
        <f t="shared" ref="AG14:AG37" si="21">IF(K14="X","","X")</f>
        <v>X</v>
      </c>
      <c r="AH14" s="176">
        <f t="shared" ref="AH14:AH37" si="22">IF(AG14="X",$D14-H14,0)</f>
        <v>11.45</v>
      </c>
      <c r="AI14" s="169">
        <f>AH14*0.02*4</f>
        <v>0.91599999999999993</v>
      </c>
    </row>
    <row r="15" spans="2:35" ht="16.5" outlineLevel="1" x14ac:dyDescent="0.25">
      <c r="B15" s="175" t="s">
        <v>2589</v>
      </c>
      <c r="C15" s="176">
        <v>7.34</v>
      </c>
      <c r="D15" s="176">
        <v>11.05</v>
      </c>
      <c r="E15" s="193">
        <v>3</v>
      </c>
      <c r="F15" s="193">
        <v>0</v>
      </c>
      <c r="G15" s="193">
        <f t="shared" si="3"/>
        <v>3</v>
      </c>
      <c r="H15" s="177"/>
      <c r="I15" s="178" t="str">
        <f t="shared" si="4"/>
        <v>X</v>
      </c>
      <c r="J15" s="176">
        <f t="shared" si="5"/>
        <v>33.150000000000006</v>
      </c>
      <c r="K15" s="178" t="str">
        <f t="shared" si="6"/>
        <v xml:space="preserve"> </v>
      </c>
      <c r="L15" s="176">
        <f t="shared" si="0"/>
        <v>0</v>
      </c>
      <c r="M15" s="178" t="str">
        <f t="shared" si="7"/>
        <v>X</v>
      </c>
      <c r="N15" s="177">
        <f t="shared" si="8"/>
        <v>33.150000000000006</v>
      </c>
      <c r="O15" s="178" t="str">
        <f t="shared" si="9"/>
        <v xml:space="preserve"> </v>
      </c>
      <c r="P15" s="176">
        <f t="shared" si="10"/>
        <v>0</v>
      </c>
      <c r="Q15" s="178" t="s">
        <v>0</v>
      </c>
      <c r="R15" s="176"/>
      <c r="S15" s="178" t="s">
        <v>2578</v>
      </c>
      <c r="T15" s="178" t="str">
        <f t="shared" si="11"/>
        <v>X</v>
      </c>
      <c r="U15" s="176">
        <f t="shared" si="12"/>
        <v>33.150000000000006</v>
      </c>
      <c r="V15" s="178" t="str">
        <f t="shared" si="1"/>
        <v xml:space="preserve"> </v>
      </c>
      <c r="W15" s="176">
        <f t="shared" si="13"/>
        <v>0</v>
      </c>
      <c r="X15" s="178" t="str">
        <f t="shared" si="14"/>
        <v xml:space="preserve"> </v>
      </c>
      <c r="Y15" s="176">
        <f t="shared" si="15"/>
        <v>0</v>
      </c>
      <c r="Z15" s="178" t="s">
        <v>2581</v>
      </c>
      <c r="AA15" s="178" t="str">
        <f t="shared" si="16"/>
        <v>X</v>
      </c>
      <c r="AB15" s="176">
        <f t="shared" si="17"/>
        <v>7.34</v>
      </c>
      <c r="AC15" s="178" t="str">
        <f t="shared" si="2"/>
        <v xml:space="preserve"> </v>
      </c>
      <c r="AD15" s="176">
        <f t="shared" si="18"/>
        <v>0</v>
      </c>
      <c r="AE15" s="178" t="str">
        <f t="shared" si="19"/>
        <v xml:space="preserve"> </v>
      </c>
      <c r="AF15" s="176">
        <f t="shared" si="20"/>
        <v>0</v>
      </c>
      <c r="AG15" s="178" t="str">
        <f t="shared" si="21"/>
        <v>X</v>
      </c>
      <c r="AH15" s="176">
        <f t="shared" si="22"/>
        <v>11.05</v>
      </c>
    </row>
    <row r="16" spans="2:35" ht="16.5" outlineLevel="1" x14ac:dyDescent="0.25">
      <c r="B16" s="175" t="s">
        <v>2590</v>
      </c>
      <c r="C16" s="176">
        <v>3.81</v>
      </c>
      <c r="D16" s="176">
        <v>7.9</v>
      </c>
      <c r="E16" s="193">
        <v>3</v>
      </c>
      <c r="F16" s="193">
        <v>0</v>
      </c>
      <c r="G16" s="193">
        <f t="shared" si="3"/>
        <v>3</v>
      </c>
      <c r="H16" s="177"/>
      <c r="I16" s="178" t="str">
        <f t="shared" si="4"/>
        <v>X</v>
      </c>
      <c r="J16" s="176">
        <f t="shared" si="5"/>
        <v>23.700000000000003</v>
      </c>
      <c r="K16" s="178" t="str">
        <f t="shared" si="6"/>
        <v xml:space="preserve"> </v>
      </c>
      <c r="L16" s="176">
        <f t="shared" si="0"/>
        <v>0</v>
      </c>
      <c r="M16" s="178" t="str">
        <f t="shared" si="7"/>
        <v>X</v>
      </c>
      <c r="N16" s="177">
        <f t="shared" si="8"/>
        <v>23.700000000000003</v>
      </c>
      <c r="O16" s="178" t="str">
        <f t="shared" si="9"/>
        <v xml:space="preserve"> </v>
      </c>
      <c r="P16" s="176">
        <v>1</v>
      </c>
      <c r="Q16" s="178" t="s">
        <v>0</v>
      </c>
      <c r="R16" s="176"/>
      <c r="S16" s="178" t="s">
        <v>2578</v>
      </c>
      <c r="T16" s="178" t="str">
        <f t="shared" si="11"/>
        <v>X</v>
      </c>
      <c r="U16" s="176">
        <f t="shared" si="12"/>
        <v>23.700000000000003</v>
      </c>
      <c r="V16" s="178" t="str">
        <f t="shared" si="1"/>
        <v xml:space="preserve"> </v>
      </c>
      <c r="W16" s="176">
        <f t="shared" si="13"/>
        <v>0</v>
      </c>
      <c r="X16" s="178" t="str">
        <f t="shared" si="14"/>
        <v xml:space="preserve"> </v>
      </c>
      <c r="Y16" s="176">
        <f t="shared" si="15"/>
        <v>0</v>
      </c>
      <c r="Z16" s="178" t="s">
        <v>2581</v>
      </c>
      <c r="AA16" s="178" t="str">
        <f t="shared" si="16"/>
        <v>X</v>
      </c>
      <c r="AB16" s="176">
        <f t="shared" si="17"/>
        <v>3.81</v>
      </c>
      <c r="AC16" s="178" t="str">
        <f t="shared" si="2"/>
        <v xml:space="preserve"> </v>
      </c>
      <c r="AD16" s="176">
        <f t="shared" si="18"/>
        <v>0</v>
      </c>
      <c r="AE16" s="178" t="str">
        <f t="shared" si="19"/>
        <v xml:space="preserve"> </v>
      </c>
      <c r="AF16" s="176">
        <f t="shared" si="20"/>
        <v>0</v>
      </c>
      <c r="AG16" s="178" t="str">
        <f t="shared" si="21"/>
        <v>X</v>
      </c>
      <c r="AH16" s="176">
        <f t="shared" si="22"/>
        <v>7.9</v>
      </c>
    </row>
    <row r="17" spans="2:36" ht="16.5" outlineLevel="1" x14ac:dyDescent="0.25">
      <c r="B17" s="175" t="s">
        <v>2591</v>
      </c>
      <c r="C17" s="176">
        <v>1.73</v>
      </c>
      <c r="D17" s="176">
        <v>5.4</v>
      </c>
      <c r="E17" s="193">
        <v>3</v>
      </c>
      <c r="F17" s="193">
        <v>2.1</v>
      </c>
      <c r="G17" s="193">
        <f t="shared" si="3"/>
        <v>0.89999999999999991</v>
      </c>
      <c r="H17" s="177"/>
      <c r="I17" s="178" t="str">
        <f t="shared" si="4"/>
        <v>X</v>
      </c>
      <c r="J17" s="176">
        <f t="shared" si="5"/>
        <v>16.200000000000003</v>
      </c>
      <c r="K17" s="178" t="str">
        <f t="shared" si="6"/>
        <v>X</v>
      </c>
      <c r="L17" s="176">
        <f t="shared" si="0"/>
        <v>11.340000000000002</v>
      </c>
      <c r="M17" s="178" t="str">
        <f t="shared" si="7"/>
        <v>X</v>
      </c>
      <c r="N17" s="177">
        <f t="shared" si="8"/>
        <v>4.8600000000000012</v>
      </c>
      <c r="O17" s="178" t="str">
        <f t="shared" si="9"/>
        <v>X</v>
      </c>
      <c r="P17" s="176">
        <f t="shared" si="10"/>
        <v>11.340000000000002</v>
      </c>
      <c r="Q17" s="178" t="s">
        <v>0</v>
      </c>
      <c r="R17" s="176"/>
      <c r="S17" s="178" t="s">
        <v>2578</v>
      </c>
      <c r="T17" s="178" t="str">
        <f t="shared" si="11"/>
        <v>X</v>
      </c>
      <c r="U17" s="176">
        <f t="shared" si="12"/>
        <v>4.8600000000000012</v>
      </c>
      <c r="V17" s="178" t="str">
        <f t="shared" si="1"/>
        <v xml:space="preserve"> </v>
      </c>
      <c r="W17" s="176">
        <f t="shared" si="13"/>
        <v>0</v>
      </c>
      <c r="X17" s="178" t="str">
        <f t="shared" si="14"/>
        <v xml:space="preserve"> </v>
      </c>
      <c r="Y17" s="176">
        <f t="shared" si="15"/>
        <v>0</v>
      </c>
      <c r="Z17" s="178" t="s">
        <v>2581</v>
      </c>
      <c r="AA17" s="178" t="str">
        <f t="shared" si="16"/>
        <v>X</v>
      </c>
      <c r="AB17" s="176">
        <f t="shared" si="17"/>
        <v>1.73</v>
      </c>
      <c r="AC17" s="178" t="str">
        <f t="shared" si="2"/>
        <v xml:space="preserve"> </v>
      </c>
      <c r="AD17" s="176">
        <f t="shared" si="18"/>
        <v>0</v>
      </c>
      <c r="AE17" s="178" t="str">
        <f t="shared" si="19"/>
        <v xml:space="preserve"> </v>
      </c>
      <c r="AF17" s="176">
        <f t="shared" si="20"/>
        <v>0</v>
      </c>
      <c r="AG17" s="178" t="str">
        <f t="shared" si="21"/>
        <v/>
      </c>
      <c r="AH17" s="176">
        <f t="shared" si="22"/>
        <v>0</v>
      </c>
    </row>
    <row r="18" spans="2:36" ht="16.5" outlineLevel="1" x14ac:dyDescent="0.25">
      <c r="B18" s="175" t="s">
        <v>2592</v>
      </c>
      <c r="C18" s="176">
        <v>11.06</v>
      </c>
      <c r="D18" s="176">
        <v>13.35</v>
      </c>
      <c r="E18" s="193">
        <v>3</v>
      </c>
      <c r="F18" s="193">
        <v>0</v>
      </c>
      <c r="G18" s="193">
        <f t="shared" si="3"/>
        <v>3</v>
      </c>
      <c r="H18" s="177"/>
      <c r="I18" s="178" t="str">
        <f t="shared" si="4"/>
        <v>X</v>
      </c>
      <c r="J18" s="176">
        <f t="shared" si="5"/>
        <v>40.049999999999997</v>
      </c>
      <c r="K18" s="178" t="str">
        <f t="shared" si="6"/>
        <v xml:space="preserve"> </v>
      </c>
      <c r="L18" s="176">
        <f t="shared" si="0"/>
        <v>0</v>
      </c>
      <c r="M18" s="178" t="str">
        <f t="shared" si="7"/>
        <v>X</v>
      </c>
      <c r="N18" s="177">
        <f t="shared" si="8"/>
        <v>40.049999999999997</v>
      </c>
      <c r="O18" s="178" t="str">
        <f t="shared" si="9"/>
        <v xml:space="preserve"> </v>
      </c>
      <c r="P18" s="176">
        <f t="shared" si="10"/>
        <v>0</v>
      </c>
      <c r="Q18" s="178" t="s">
        <v>0</v>
      </c>
      <c r="R18" s="176"/>
      <c r="S18" s="178" t="s">
        <v>2578</v>
      </c>
      <c r="T18" s="178" t="str">
        <f t="shared" si="11"/>
        <v>X</v>
      </c>
      <c r="U18" s="176">
        <f t="shared" si="12"/>
        <v>40.049999999999997</v>
      </c>
      <c r="V18" s="178" t="str">
        <f t="shared" si="1"/>
        <v xml:space="preserve"> </v>
      </c>
      <c r="W18" s="176">
        <f t="shared" si="13"/>
        <v>0</v>
      </c>
      <c r="X18" s="178" t="str">
        <f t="shared" si="14"/>
        <v xml:space="preserve"> </v>
      </c>
      <c r="Y18" s="176">
        <f t="shared" si="15"/>
        <v>0</v>
      </c>
      <c r="Z18" s="178" t="s">
        <v>2581</v>
      </c>
      <c r="AA18" s="178" t="str">
        <f t="shared" si="16"/>
        <v>X</v>
      </c>
      <c r="AB18" s="176">
        <f t="shared" si="17"/>
        <v>11.06</v>
      </c>
      <c r="AC18" s="178" t="str">
        <f t="shared" si="2"/>
        <v xml:space="preserve"> </v>
      </c>
      <c r="AD18" s="176">
        <f t="shared" si="18"/>
        <v>0</v>
      </c>
      <c r="AE18" s="178" t="str">
        <f t="shared" si="19"/>
        <v xml:space="preserve"> </v>
      </c>
      <c r="AF18" s="176">
        <f t="shared" si="20"/>
        <v>0</v>
      </c>
      <c r="AG18" s="178" t="str">
        <f t="shared" si="21"/>
        <v>X</v>
      </c>
      <c r="AH18" s="176">
        <f t="shared" si="22"/>
        <v>13.35</v>
      </c>
    </row>
    <row r="19" spans="2:36" ht="16.5" outlineLevel="1" x14ac:dyDescent="0.25">
      <c r="B19" s="175" t="s">
        <v>2593</v>
      </c>
      <c r="C19" s="176">
        <v>10.23</v>
      </c>
      <c r="D19" s="176">
        <v>15.15</v>
      </c>
      <c r="E19" s="193">
        <v>3</v>
      </c>
      <c r="F19" s="193">
        <v>0</v>
      </c>
      <c r="G19" s="193">
        <f t="shared" si="3"/>
        <v>3</v>
      </c>
      <c r="H19" s="177"/>
      <c r="I19" s="178" t="str">
        <f t="shared" si="4"/>
        <v>X</v>
      </c>
      <c r="J19" s="176">
        <f t="shared" si="5"/>
        <v>45.45</v>
      </c>
      <c r="K19" s="178" t="str">
        <f t="shared" si="6"/>
        <v xml:space="preserve"> </v>
      </c>
      <c r="L19" s="176">
        <f t="shared" si="0"/>
        <v>0</v>
      </c>
      <c r="M19" s="178" t="str">
        <f t="shared" si="7"/>
        <v>X</v>
      </c>
      <c r="N19" s="177">
        <f t="shared" si="8"/>
        <v>45.45</v>
      </c>
      <c r="O19" s="178" t="str">
        <f t="shared" si="9"/>
        <v xml:space="preserve"> </v>
      </c>
      <c r="P19" s="176">
        <f t="shared" si="10"/>
        <v>0</v>
      </c>
      <c r="Q19" s="178" t="s">
        <v>0</v>
      </c>
      <c r="R19" s="176"/>
      <c r="S19" s="178" t="s">
        <v>2578</v>
      </c>
      <c r="T19" s="178" t="str">
        <f t="shared" si="11"/>
        <v>X</v>
      </c>
      <c r="U19" s="176">
        <f t="shared" si="12"/>
        <v>45.45</v>
      </c>
      <c r="V19" s="178" t="str">
        <f t="shared" si="1"/>
        <v xml:space="preserve"> </v>
      </c>
      <c r="W19" s="176">
        <f t="shared" si="13"/>
        <v>0</v>
      </c>
      <c r="X19" s="178" t="str">
        <f t="shared" si="14"/>
        <v xml:space="preserve"> </v>
      </c>
      <c r="Y19" s="176">
        <f t="shared" si="15"/>
        <v>0</v>
      </c>
      <c r="Z19" s="178" t="s">
        <v>2581</v>
      </c>
      <c r="AA19" s="178" t="str">
        <f t="shared" si="16"/>
        <v>X</v>
      </c>
      <c r="AB19" s="176">
        <f t="shared" si="17"/>
        <v>10.23</v>
      </c>
      <c r="AC19" s="178" t="str">
        <f t="shared" si="2"/>
        <v xml:space="preserve"> </v>
      </c>
      <c r="AD19" s="176">
        <f t="shared" si="18"/>
        <v>0</v>
      </c>
      <c r="AE19" s="178" t="str">
        <f t="shared" si="19"/>
        <v xml:space="preserve"> </v>
      </c>
      <c r="AF19" s="176">
        <f t="shared" si="20"/>
        <v>0</v>
      </c>
      <c r="AG19" s="178" t="str">
        <f t="shared" si="21"/>
        <v>X</v>
      </c>
      <c r="AH19" s="176">
        <f t="shared" si="22"/>
        <v>15.15</v>
      </c>
      <c r="AJ19" s="170"/>
    </row>
    <row r="20" spans="2:36" ht="16.5" outlineLevel="1" x14ac:dyDescent="0.25">
      <c r="B20" s="175" t="s">
        <v>2594</v>
      </c>
      <c r="C20" s="176">
        <v>3.44</v>
      </c>
      <c r="D20" s="176">
        <v>8.5500000000000007</v>
      </c>
      <c r="E20" s="193">
        <v>3</v>
      </c>
      <c r="F20" s="193">
        <v>0</v>
      </c>
      <c r="G20" s="193">
        <f t="shared" si="3"/>
        <v>3</v>
      </c>
      <c r="H20" s="177"/>
      <c r="I20" s="178" t="str">
        <f t="shared" si="4"/>
        <v>X</v>
      </c>
      <c r="J20" s="176">
        <f t="shared" si="5"/>
        <v>25.650000000000002</v>
      </c>
      <c r="K20" s="178" t="str">
        <f t="shared" si="6"/>
        <v xml:space="preserve"> </v>
      </c>
      <c r="L20" s="176">
        <f t="shared" si="0"/>
        <v>0</v>
      </c>
      <c r="M20" s="178" t="str">
        <f t="shared" si="7"/>
        <v>X</v>
      </c>
      <c r="N20" s="177">
        <f t="shared" si="8"/>
        <v>25.650000000000002</v>
      </c>
      <c r="O20" s="178" t="str">
        <f t="shared" si="9"/>
        <v xml:space="preserve"> </v>
      </c>
      <c r="P20" s="176">
        <f t="shared" si="10"/>
        <v>0</v>
      </c>
      <c r="Q20" s="178" t="s">
        <v>0</v>
      </c>
      <c r="R20" s="176"/>
      <c r="S20" s="178" t="s">
        <v>2579</v>
      </c>
      <c r="T20" s="178" t="str">
        <f t="shared" si="11"/>
        <v xml:space="preserve"> </v>
      </c>
      <c r="U20" s="176">
        <f t="shared" si="12"/>
        <v>0</v>
      </c>
      <c r="V20" s="178" t="str">
        <f>IF($S20="EPÓXI","X"," ")</f>
        <v>X</v>
      </c>
      <c r="W20" s="176">
        <f t="shared" si="13"/>
        <v>25.650000000000002</v>
      </c>
      <c r="X20" s="178" t="str">
        <f t="shared" si="14"/>
        <v xml:space="preserve"> </v>
      </c>
      <c r="Y20" s="176">
        <f t="shared" si="15"/>
        <v>0</v>
      </c>
      <c r="Z20" s="178" t="s">
        <v>2581</v>
      </c>
      <c r="AA20" s="178" t="str">
        <f t="shared" si="16"/>
        <v>X</v>
      </c>
      <c r="AB20" s="176">
        <f t="shared" si="17"/>
        <v>3.44</v>
      </c>
      <c r="AC20" s="178" t="str">
        <f t="shared" si="2"/>
        <v xml:space="preserve"> </v>
      </c>
      <c r="AD20" s="176">
        <f t="shared" si="18"/>
        <v>0</v>
      </c>
      <c r="AE20" s="178" t="str">
        <f t="shared" si="19"/>
        <v xml:space="preserve"> </v>
      </c>
      <c r="AF20" s="176">
        <f t="shared" si="20"/>
        <v>0</v>
      </c>
      <c r="AG20" s="178" t="str">
        <f t="shared" si="21"/>
        <v>X</v>
      </c>
      <c r="AH20" s="176">
        <f t="shared" si="22"/>
        <v>8.5500000000000007</v>
      </c>
      <c r="AJ20" s="179"/>
    </row>
    <row r="21" spans="2:36" ht="16.5" outlineLevel="1" x14ac:dyDescent="0.25">
      <c r="B21" s="175" t="s">
        <v>2595</v>
      </c>
      <c r="C21" s="176">
        <v>9.34</v>
      </c>
      <c r="D21" s="176">
        <v>16.649999999999999</v>
      </c>
      <c r="E21" s="193">
        <v>3</v>
      </c>
      <c r="F21" s="193">
        <v>0</v>
      </c>
      <c r="G21" s="193">
        <f t="shared" si="3"/>
        <v>3</v>
      </c>
      <c r="H21" s="177"/>
      <c r="I21" s="178" t="str">
        <f t="shared" si="4"/>
        <v>X</v>
      </c>
      <c r="J21" s="176">
        <f t="shared" si="5"/>
        <v>49.949999999999996</v>
      </c>
      <c r="K21" s="178" t="str">
        <f t="shared" si="6"/>
        <v xml:space="preserve"> </v>
      </c>
      <c r="L21" s="176">
        <f t="shared" si="0"/>
        <v>0</v>
      </c>
      <c r="M21" s="178" t="str">
        <f t="shared" si="7"/>
        <v>X</v>
      </c>
      <c r="N21" s="177">
        <f t="shared" si="8"/>
        <v>49.949999999999996</v>
      </c>
      <c r="O21" s="178" t="str">
        <f t="shared" si="9"/>
        <v xml:space="preserve"> </v>
      </c>
      <c r="P21" s="176">
        <v>1</v>
      </c>
      <c r="Q21" s="178" t="s">
        <v>0</v>
      </c>
      <c r="R21" s="176"/>
      <c r="S21" s="178" t="s">
        <v>2578</v>
      </c>
      <c r="T21" s="178" t="str">
        <f t="shared" si="11"/>
        <v>X</v>
      </c>
      <c r="U21" s="176">
        <f t="shared" si="12"/>
        <v>49.949999999999996</v>
      </c>
      <c r="V21" s="178" t="str">
        <f t="shared" si="1"/>
        <v xml:space="preserve"> </v>
      </c>
      <c r="W21" s="176">
        <f t="shared" si="13"/>
        <v>0</v>
      </c>
      <c r="X21" s="178" t="str">
        <f t="shared" si="14"/>
        <v xml:space="preserve"> </v>
      </c>
      <c r="Y21" s="176">
        <f t="shared" si="15"/>
        <v>0</v>
      </c>
      <c r="Z21" s="178" t="s">
        <v>2581</v>
      </c>
      <c r="AA21" s="178" t="str">
        <f t="shared" si="16"/>
        <v>X</v>
      </c>
      <c r="AB21" s="176">
        <f t="shared" si="17"/>
        <v>9.34</v>
      </c>
      <c r="AC21" s="178" t="str">
        <f t="shared" si="2"/>
        <v xml:space="preserve"> </v>
      </c>
      <c r="AD21" s="176">
        <f t="shared" si="18"/>
        <v>0</v>
      </c>
      <c r="AE21" s="178" t="str">
        <f t="shared" si="19"/>
        <v xml:space="preserve"> </v>
      </c>
      <c r="AF21" s="176">
        <f t="shared" si="20"/>
        <v>0</v>
      </c>
      <c r="AG21" s="178" t="str">
        <f t="shared" si="21"/>
        <v>X</v>
      </c>
      <c r="AH21" s="176">
        <f t="shared" si="22"/>
        <v>16.649999999999999</v>
      </c>
      <c r="AJ21" s="180"/>
    </row>
    <row r="22" spans="2:36" ht="16.5" outlineLevel="1" x14ac:dyDescent="0.25">
      <c r="B22" s="175" t="s">
        <v>2596</v>
      </c>
      <c r="C22" s="176">
        <v>1.64</v>
      </c>
      <c r="D22" s="176">
        <v>5.25</v>
      </c>
      <c r="E22" s="193">
        <v>3</v>
      </c>
      <c r="F22" s="193">
        <v>2.1</v>
      </c>
      <c r="G22" s="193">
        <f t="shared" si="3"/>
        <v>0.89999999999999991</v>
      </c>
      <c r="H22" s="177"/>
      <c r="I22" s="178" t="str">
        <f t="shared" si="4"/>
        <v>X</v>
      </c>
      <c r="J22" s="176">
        <f t="shared" si="5"/>
        <v>15.75</v>
      </c>
      <c r="K22" s="178" t="str">
        <f t="shared" si="6"/>
        <v>X</v>
      </c>
      <c r="L22" s="176">
        <f t="shared" si="0"/>
        <v>11.025</v>
      </c>
      <c r="M22" s="178" t="str">
        <f t="shared" si="7"/>
        <v>X</v>
      </c>
      <c r="N22" s="177">
        <f t="shared" si="8"/>
        <v>4.7249999999999996</v>
      </c>
      <c r="O22" s="178" t="str">
        <f t="shared" si="9"/>
        <v>X</v>
      </c>
      <c r="P22" s="176">
        <f t="shared" si="10"/>
        <v>11.025</v>
      </c>
      <c r="Q22" s="178" t="s">
        <v>0</v>
      </c>
      <c r="R22" s="176"/>
      <c r="S22" s="178" t="s">
        <v>2578</v>
      </c>
      <c r="T22" s="178" t="str">
        <f t="shared" si="11"/>
        <v>X</v>
      </c>
      <c r="U22" s="176">
        <f t="shared" si="12"/>
        <v>4.7249999999999996</v>
      </c>
      <c r="V22" s="178" t="str">
        <f t="shared" si="1"/>
        <v xml:space="preserve"> </v>
      </c>
      <c r="W22" s="176">
        <f t="shared" si="13"/>
        <v>0</v>
      </c>
      <c r="X22" s="178" t="str">
        <f t="shared" si="14"/>
        <v xml:space="preserve"> </v>
      </c>
      <c r="Y22" s="176">
        <f t="shared" si="15"/>
        <v>0</v>
      </c>
      <c r="Z22" s="178" t="s">
        <v>2581</v>
      </c>
      <c r="AA22" s="178" t="str">
        <f t="shared" si="16"/>
        <v>X</v>
      </c>
      <c r="AB22" s="176">
        <f t="shared" si="17"/>
        <v>1.64</v>
      </c>
      <c r="AC22" s="178" t="str">
        <f t="shared" si="2"/>
        <v xml:space="preserve"> </v>
      </c>
      <c r="AD22" s="176">
        <f t="shared" si="18"/>
        <v>0</v>
      </c>
      <c r="AE22" s="178" t="str">
        <f t="shared" si="19"/>
        <v xml:space="preserve"> </v>
      </c>
      <c r="AF22" s="176">
        <f t="shared" si="20"/>
        <v>0</v>
      </c>
      <c r="AG22" s="178" t="str">
        <f t="shared" si="21"/>
        <v/>
      </c>
      <c r="AH22" s="176">
        <f t="shared" si="22"/>
        <v>0</v>
      </c>
    </row>
    <row r="23" spans="2:36" ht="16.5" outlineLevel="1" x14ac:dyDescent="0.25">
      <c r="B23" s="175" t="s">
        <v>2597</v>
      </c>
      <c r="C23" s="176">
        <v>1.69</v>
      </c>
      <c r="D23" s="176">
        <v>5.35</v>
      </c>
      <c r="E23" s="193">
        <v>3</v>
      </c>
      <c r="F23" s="193">
        <v>2.1</v>
      </c>
      <c r="G23" s="193">
        <f t="shared" si="3"/>
        <v>0.89999999999999991</v>
      </c>
      <c r="H23" s="177"/>
      <c r="I23" s="178" t="str">
        <f t="shared" si="4"/>
        <v>X</v>
      </c>
      <c r="J23" s="176">
        <f t="shared" si="5"/>
        <v>16.049999999999997</v>
      </c>
      <c r="K23" s="178" t="str">
        <f t="shared" si="6"/>
        <v>X</v>
      </c>
      <c r="L23" s="176">
        <f t="shared" si="0"/>
        <v>11.234999999999999</v>
      </c>
      <c r="M23" s="178" t="str">
        <f t="shared" si="7"/>
        <v>X</v>
      </c>
      <c r="N23" s="177">
        <f t="shared" si="8"/>
        <v>4.8149999999999977</v>
      </c>
      <c r="O23" s="178" t="str">
        <f t="shared" si="9"/>
        <v>X</v>
      </c>
      <c r="P23" s="176">
        <f t="shared" si="10"/>
        <v>11.234999999999999</v>
      </c>
      <c r="Q23" s="178" t="s">
        <v>0</v>
      </c>
      <c r="R23" s="176"/>
      <c r="S23" s="178" t="s">
        <v>2578</v>
      </c>
      <c r="T23" s="178" t="str">
        <f t="shared" si="11"/>
        <v>X</v>
      </c>
      <c r="U23" s="176">
        <f t="shared" si="12"/>
        <v>4.8149999999999977</v>
      </c>
      <c r="V23" s="178" t="str">
        <f t="shared" si="1"/>
        <v xml:space="preserve"> </v>
      </c>
      <c r="W23" s="176">
        <f t="shared" si="13"/>
        <v>0</v>
      </c>
      <c r="X23" s="178" t="str">
        <f t="shared" si="14"/>
        <v xml:space="preserve"> </v>
      </c>
      <c r="Y23" s="176">
        <f t="shared" si="15"/>
        <v>0</v>
      </c>
      <c r="Z23" s="178" t="s">
        <v>2581</v>
      </c>
      <c r="AA23" s="178" t="str">
        <f t="shared" si="16"/>
        <v>X</v>
      </c>
      <c r="AB23" s="176">
        <f t="shared" si="17"/>
        <v>1.69</v>
      </c>
      <c r="AC23" s="178" t="str">
        <f t="shared" si="2"/>
        <v xml:space="preserve"> </v>
      </c>
      <c r="AD23" s="176">
        <f t="shared" si="18"/>
        <v>0</v>
      </c>
      <c r="AE23" s="178" t="str">
        <f t="shared" si="19"/>
        <v xml:space="preserve"> </v>
      </c>
      <c r="AF23" s="176">
        <f t="shared" si="20"/>
        <v>0</v>
      </c>
      <c r="AG23" s="178" t="str">
        <f t="shared" si="21"/>
        <v/>
      </c>
      <c r="AH23" s="176">
        <f t="shared" si="22"/>
        <v>0</v>
      </c>
    </row>
    <row r="24" spans="2:36" ht="16.5" outlineLevel="1" x14ac:dyDescent="0.25">
      <c r="B24" s="175" t="s">
        <v>2598</v>
      </c>
      <c r="C24" s="176">
        <v>2.15</v>
      </c>
      <c r="D24" s="176">
        <v>6.15</v>
      </c>
      <c r="E24" s="193">
        <v>3</v>
      </c>
      <c r="F24" s="193">
        <v>0</v>
      </c>
      <c r="G24" s="193">
        <f t="shared" si="3"/>
        <v>3</v>
      </c>
      <c r="H24" s="177"/>
      <c r="I24" s="178" t="str">
        <f t="shared" si="4"/>
        <v>X</v>
      </c>
      <c r="J24" s="176">
        <f t="shared" si="5"/>
        <v>18.450000000000003</v>
      </c>
      <c r="K24" s="178" t="str">
        <f t="shared" si="6"/>
        <v xml:space="preserve"> </v>
      </c>
      <c r="L24" s="176">
        <f t="shared" si="0"/>
        <v>0</v>
      </c>
      <c r="M24" s="178" t="str">
        <f t="shared" si="7"/>
        <v>X</v>
      </c>
      <c r="N24" s="177">
        <f t="shared" si="8"/>
        <v>18.450000000000003</v>
      </c>
      <c r="O24" s="178" t="str">
        <f t="shared" si="9"/>
        <v xml:space="preserve"> </v>
      </c>
      <c r="P24" s="176">
        <f t="shared" si="10"/>
        <v>0</v>
      </c>
      <c r="Q24" s="178" t="s">
        <v>0</v>
      </c>
      <c r="R24" s="176"/>
      <c r="S24" s="178" t="s">
        <v>2578</v>
      </c>
      <c r="T24" s="178" t="str">
        <f t="shared" si="11"/>
        <v>X</v>
      </c>
      <c r="U24" s="176">
        <f t="shared" si="12"/>
        <v>18.450000000000003</v>
      </c>
      <c r="V24" s="178" t="str">
        <f t="shared" si="1"/>
        <v xml:space="preserve"> </v>
      </c>
      <c r="W24" s="176">
        <f t="shared" si="13"/>
        <v>0</v>
      </c>
      <c r="X24" s="178" t="str">
        <f t="shared" si="14"/>
        <v xml:space="preserve"> </v>
      </c>
      <c r="Y24" s="176">
        <f t="shared" si="15"/>
        <v>0</v>
      </c>
      <c r="Z24" s="178" t="s">
        <v>2581</v>
      </c>
      <c r="AA24" s="178" t="str">
        <f t="shared" si="16"/>
        <v>X</v>
      </c>
      <c r="AB24" s="176">
        <f t="shared" si="17"/>
        <v>2.15</v>
      </c>
      <c r="AC24" s="178" t="str">
        <f t="shared" si="2"/>
        <v xml:space="preserve"> </v>
      </c>
      <c r="AD24" s="176">
        <f t="shared" si="18"/>
        <v>0</v>
      </c>
      <c r="AE24" s="178" t="str">
        <f t="shared" si="19"/>
        <v xml:space="preserve"> </v>
      </c>
      <c r="AF24" s="176">
        <f t="shared" si="20"/>
        <v>0</v>
      </c>
      <c r="AG24" s="178" t="str">
        <f t="shared" si="21"/>
        <v>X</v>
      </c>
      <c r="AH24" s="176">
        <f t="shared" si="22"/>
        <v>6.15</v>
      </c>
    </row>
    <row r="25" spans="2:36" ht="16.5" outlineLevel="1" x14ac:dyDescent="0.25">
      <c r="B25" s="175" t="s">
        <v>2599</v>
      </c>
      <c r="C25" s="176">
        <v>20.91</v>
      </c>
      <c r="D25" s="176">
        <v>19.350000000000001</v>
      </c>
      <c r="E25" s="193">
        <v>3</v>
      </c>
      <c r="F25" s="193">
        <v>0</v>
      </c>
      <c r="G25" s="193">
        <f t="shared" si="3"/>
        <v>3</v>
      </c>
      <c r="H25" s="177"/>
      <c r="I25" s="178" t="str">
        <f t="shared" si="4"/>
        <v>X</v>
      </c>
      <c r="J25" s="176">
        <f t="shared" si="5"/>
        <v>58.050000000000004</v>
      </c>
      <c r="K25" s="178" t="str">
        <f t="shared" si="6"/>
        <v xml:space="preserve"> </v>
      </c>
      <c r="L25" s="176">
        <f t="shared" si="0"/>
        <v>0</v>
      </c>
      <c r="M25" s="178" t="str">
        <f t="shared" si="7"/>
        <v>X</v>
      </c>
      <c r="N25" s="177">
        <f t="shared" si="8"/>
        <v>58.050000000000004</v>
      </c>
      <c r="O25" s="178" t="str">
        <f t="shared" si="9"/>
        <v xml:space="preserve"> </v>
      </c>
      <c r="P25" s="176">
        <f t="shared" si="10"/>
        <v>0</v>
      </c>
      <c r="Q25" s="178" t="s">
        <v>0</v>
      </c>
      <c r="R25" s="176"/>
      <c r="S25" s="178" t="s">
        <v>2579</v>
      </c>
      <c r="T25" s="178" t="str">
        <f t="shared" si="11"/>
        <v xml:space="preserve"> </v>
      </c>
      <c r="U25" s="176">
        <f t="shared" si="12"/>
        <v>0</v>
      </c>
      <c r="V25" s="178" t="str">
        <f t="shared" si="1"/>
        <v>X</v>
      </c>
      <c r="W25" s="176">
        <f t="shared" si="13"/>
        <v>58.050000000000004</v>
      </c>
      <c r="X25" s="178" t="str">
        <f t="shared" si="14"/>
        <v xml:space="preserve"> </v>
      </c>
      <c r="Y25" s="176">
        <f t="shared" si="15"/>
        <v>0</v>
      </c>
      <c r="Z25" s="178" t="s">
        <v>2581</v>
      </c>
      <c r="AA25" s="178" t="str">
        <f t="shared" si="16"/>
        <v>X</v>
      </c>
      <c r="AB25" s="176">
        <f t="shared" si="17"/>
        <v>20.91</v>
      </c>
      <c r="AC25" s="178" t="str">
        <f t="shared" si="2"/>
        <v xml:space="preserve"> </v>
      </c>
      <c r="AD25" s="176">
        <f t="shared" si="18"/>
        <v>0</v>
      </c>
      <c r="AE25" s="178" t="str">
        <f t="shared" si="19"/>
        <v xml:space="preserve"> </v>
      </c>
      <c r="AF25" s="176">
        <f t="shared" si="20"/>
        <v>0</v>
      </c>
      <c r="AG25" s="178" t="str">
        <f t="shared" si="21"/>
        <v>X</v>
      </c>
      <c r="AH25" s="176">
        <f t="shared" si="22"/>
        <v>19.350000000000001</v>
      </c>
    </row>
    <row r="26" spans="2:36" ht="16.5" outlineLevel="1" x14ac:dyDescent="0.25">
      <c r="B26" s="175" t="s">
        <v>2591</v>
      </c>
      <c r="C26" s="176">
        <v>1.26</v>
      </c>
      <c r="D26" s="176">
        <v>4.49</v>
      </c>
      <c r="E26" s="193">
        <v>3</v>
      </c>
      <c r="F26" s="193">
        <v>2.1</v>
      </c>
      <c r="G26" s="193">
        <f t="shared" si="3"/>
        <v>0.89999999999999991</v>
      </c>
      <c r="H26" s="177"/>
      <c r="I26" s="178" t="str">
        <f t="shared" si="4"/>
        <v>X</v>
      </c>
      <c r="J26" s="176">
        <f t="shared" si="5"/>
        <v>13.47</v>
      </c>
      <c r="K26" s="178" t="str">
        <f t="shared" si="6"/>
        <v>X</v>
      </c>
      <c r="L26" s="176">
        <f t="shared" si="0"/>
        <v>9.4290000000000003</v>
      </c>
      <c r="M26" s="178" t="str">
        <f t="shared" si="7"/>
        <v>X</v>
      </c>
      <c r="N26" s="177">
        <f t="shared" si="8"/>
        <v>4.0410000000000004</v>
      </c>
      <c r="O26" s="178" t="str">
        <f t="shared" si="9"/>
        <v>X</v>
      </c>
      <c r="P26" s="176">
        <f t="shared" si="10"/>
        <v>9.4290000000000003</v>
      </c>
      <c r="Q26" s="178" t="s">
        <v>0</v>
      </c>
      <c r="R26" s="176"/>
      <c r="S26" s="178" t="s">
        <v>2578</v>
      </c>
      <c r="T26" s="178" t="str">
        <f t="shared" si="11"/>
        <v>X</v>
      </c>
      <c r="U26" s="176">
        <f t="shared" si="12"/>
        <v>4.0410000000000004</v>
      </c>
      <c r="V26" s="178" t="str">
        <f t="shared" si="1"/>
        <v xml:space="preserve"> </v>
      </c>
      <c r="W26" s="176">
        <f t="shared" si="13"/>
        <v>0</v>
      </c>
      <c r="X26" s="178" t="str">
        <f t="shared" si="14"/>
        <v xml:space="preserve"> </v>
      </c>
      <c r="Y26" s="176">
        <f t="shared" si="15"/>
        <v>0</v>
      </c>
      <c r="Z26" s="178" t="s">
        <v>2581</v>
      </c>
      <c r="AA26" s="178" t="str">
        <f t="shared" si="16"/>
        <v>X</v>
      </c>
      <c r="AB26" s="176">
        <f t="shared" si="17"/>
        <v>1.26</v>
      </c>
      <c r="AC26" s="178" t="str">
        <f t="shared" si="2"/>
        <v xml:space="preserve"> </v>
      </c>
      <c r="AD26" s="176">
        <f t="shared" si="18"/>
        <v>0</v>
      </c>
      <c r="AE26" s="178" t="str">
        <f t="shared" si="19"/>
        <v xml:space="preserve"> </v>
      </c>
      <c r="AF26" s="176">
        <f t="shared" si="20"/>
        <v>0</v>
      </c>
      <c r="AG26" s="178" t="str">
        <f t="shared" si="21"/>
        <v/>
      </c>
      <c r="AH26" s="176">
        <f t="shared" si="22"/>
        <v>0</v>
      </c>
    </row>
    <row r="27" spans="2:36" ht="16.5" outlineLevel="1" x14ac:dyDescent="0.25">
      <c r="B27" s="175" t="s">
        <v>2594</v>
      </c>
      <c r="C27" s="176">
        <v>5.17</v>
      </c>
      <c r="D27" s="176">
        <v>11.6</v>
      </c>
      <c r="E27" s="193">
        <v>3</v>
      </c>
      <c r="F27" s="193">
        <v>0</v>
      </c>
      <c r="G27" s="193">
        <f t="shared" si="3"/>
        <v>3</v>
      </c>
      <c r="H27" s="177"/>
      <c r="I27" s="178" t="str">
        <f t="shared" si="4"/>
        <v>X</v>
      </c>
      <c r="J27" s="176">
        <f t="shared" si="5"/>
        <v>34.799999999999997</v>
      </c>
      <c r="K27" s="178" t="str">
        <f t="shared" si="6"/>
        <v xml:space="preserve"> </v>
      </c>
      <c r="L27" s="176">
        <f t="shared" si="0"/>
        <v>0</v>
      </c>
      <c r="M27" s="178" t="str">
        <f t="shared" si="7"/>
        <v>X</v>
      </c>
      <c r="N27" s="177">
        <f t="shared" si="8"/>
        <v>34.799999999999997</v>
      </c>
      <c r="O27" s="178" t="str">
        <f t="shared" si="9"/>
        <v xml:space="preserve"> </v>
      </c>
      <c r="P27" s="176">
        <f t="shared" si="10"/>
        <v>0</v>
      </c>
      <c r="Q27" s="178" t="s">
        <v>0</v>
      </c>
      <c r="R27" s="176"/>
      <c r="S27" s="178" t="s">
        <v>2578</v>
      </c>
      <c r="T27" s="178" t="str">
        <f t="shared" si="11"/>
        <v>X</v>
      </c>
      <c r="U27" s="176">
        <f t="shared" si="12"/>
        <v>34.799999999999997</v>
      </c>
      <c r="V27" s="178" t="str">
        <f t="shared" si="1"/>
        <v xml:space="preserve"> </v>
      </c>
      <c r="W27" s="176">
        <f t="shared" si="13"/>
        <v>0</v>
      </c>
      <c r="X27" s="178" t="str">
        <f t="shared" si="14"/>
        <v xml:space="preserve"> </v>
      </c>
      <c r="Y27" s="176">
        <f t="shared" si="15"/>
        <v>0</v>
      </c>
      <c r="Z27" s="178" t="s">
        <v>2581</v>
      </c>
      <c r="AA27" s="178" t="str">
        <f t="shared" si="16"/>
        <v>X</v>
      </c>
      <c r="AB27" s="176">
        <f t="shared" si="17"/>
        <v>5.17</v>
      </c>
      <c r="AC27" s="178" t="str">
        <f t="shared" si="2"/>
        <v xml:space="preserve"> </v>
      </c>
      <c r="AD27" s="176">
        <f t="shared" si="18"/>
        <v>0</v>
      </c>
      <c r="AE27" s="178" t="str">
        <f t="shared" si="19"/>
        <v xml:space="preserve"> </v>
      </c>
      <c r="AF27" s="176">
        <f t="shared" si="20"/>
        <v>0</v>
      </c>
      <c r="AG27" s="178" t="str">
        <f t="shared" si="21"/>
        <v>X</v>
      </c>
      <c r="AH27" s="176">
        <f t="shared" si="22"/>
        <v>11.6</v>
      </c>
    </row>
    <row r="28" spans="2:36" ht="16.5" outlineLevel="1" x14ac:dyDescent="0.25">
      <c r="B28" s="175" t="s">
        <v>2600</v>
      </c>
      <c r="C28" s="176">
        <v>7.84</v>
      </c>
      <c r="D28" s="176">
        <v>11.85</v>
      </c>
      <c r="E28" s="193">
        <v>3</v>
      </c>
      <c r="F28" s="193">
        <v>0</v>
      </c>
      <c r="G28" s="193">
        <f t="shared" si="3"/>
        <v>3</v>
      </c>
      <c r="H28" s="177"/>
      <c r="I28" s="178" t="str">
        <f t="shared" si="4"/>
        <v>X</v>
      </c>
      <c r="J28" s="176">
        <f t="shared" si="5"/>
        <v>35.549999999999997</v>
      </c>
      <c r="K28" s="178" t="str">
        <f t="shared" si="6"/>
        <v xml:space="preserve"> </v>
      </c>
      <c r="L28" s="176">
        <f t="shared" si="0"/>
        <v>0</v>
      </c>
      <c r="M28" s="178" t="str">
        <f t="shared" si="7"/>
        <v>X</v>
      </c>
      <c r="N28" s="177">
        <f t="shared" si="8"/>
        <v>35.549999999999997</v>
      </c>
      <c r="O28" s="178" t="str">
        <f t="shared" si="9"/>
        <v xml:space="preserve"> </v>
      </c>
      <c r="P28" s="176">
        <f t="shared" si="10"/>
        <v>0</v>
      </c>
      <c r="Q28" s="178" t="s">
        <v>0</v>
      </c>
      <c r="R28" s="176"/>
      <c r="S28" s="178" t="s">
        <v>2579</v>
      </c>
      <c r="T28" s="178" t="str">
        <f t="shared" si="11"/>
        <v xml:space="preserve"> </v>
      </c>
      <c r="U28" s="176">
        <f t="shared" si="12"/>
        <v>0</v>
      </c>
      <c r="V28" s="178" t="str">
        <f t="shared" si="1"/>
        <v>X</v>
      </c>
      <c r="W28" s="176">
        <f t="shared" si="13"/>
        <v>35.549999999999997</v>
      </c>
      <c r="X28" s="178" t="str">
        <f t="shared" si="14"/>
        <v xml:space="preserve"> </v>
      </c>
      <c r="Y28" s="176">
        <f t="shared" si="15"/>
        <v>0</v>
      </c>
      <c r="Z28" s="178" t="s">
        <v>2581</v>
      </c>
      <c r="AA28" s="178" t="str">
        <f t="shared" si="16"/>
        <v>X</v>
      </c>
      <c r="AB28" s="176">
        <f t="shared" si="17"/>
        <v>7.84</v>
      </c>
      <c r="AC28" s="178" t="str">
        <f t="shared" si="2"/>
        <v xml:space="preserve"> </v>
      </c>
      <c r="AD28" s="176">
        <f t="shared" si="18"/>
        <v>0</v>
      </c>
      <c r="AE28" s="178" t="str">
        <f t="shared" si="19"/>
        <v xml:space="preserve"> </v>
      </c>
      <c r="AF28" s="176">
        <f t="shared" si="20"/>
        <v>0</v>
      </c>
      <c r="AG28" s="178" t="str">
        <f t="shared" si="21"/>
        <v>X</v>
      </c>
      <c r="AH28" s="176">
        <f t="shared" si="22"/>
        <v>11.85</v>
      </c>
    </row>
    <row r="29" spans="2:36" ht="16.5" outlineLevel="1" x14ac:dyDescent="0.25">
      <c r="B29" s="175" t="s">
        <v>2601</v>
      </c>
      <c r="C29" s="176">
        <v>7.99</v>
      </c>
      <c r="D29" s="176">
        <v>11.55</v>
      </c>
      <c r="E29" s="193">
        <v>3</v>
      </c>
      <c r="F29" s="193">
        <v>0</v>
      </c>
      <c r="G29" s="193">
        <f t="shared" si="3"/>
        <v>3</v>
      </c>
      <c r="H29" s="177"/>
      <c r="I29" s="178" t="str">
        <f t="shared" si="4"/>
        <v>X</v>
      </c>
      <c r="J29" s="176">
        <f t="shared" si="5"/>
        <v>34.650000000000006</v>
      </c>
      <c r="K29" s="178" t="str">
        <f t="shared" si="6"/>
        <v xml:space="preserve"> </v>
      </c>
      <c r="L29" s="176">
        <f t="shared" si="0"/>
        <v>0</v>
      </c>
      <c r="M29" s="178" t="str">
        <f t="shared" si="7"/>
        <v>X</v>
      </c>
      <c r="N29" s="177">
        <f t="shared" si="8"/>
        <v>34.650000000000006</v>
      </c>
      <c r="O29" s="178" t="str">
        <f t="shared" si="9"/>
        <v xml:space="preserve"> </v>
      </c>
      <c r="P29" s="176">
        <f t="shared" si="10"/>
        <v>0</v>
      </c>
      <c r="Q29" s="178" t="s">
        <v>0</v>
      </c>
      <c r="R29" s="176"/>
      <c r="S29" s="178" t="s">
        <v>2579</v>
      </c>
      <c r="T29" s="178" t="str">
        <f t="shared" si="11"/>
        <v xml:space="preserve"> </v>
      </c>
      <c r="U29" s="176">
        <f t="shared" si="12"/>
        <v>0</v>
      </c>
      <c r="V29" s="178" t="str">
        <f t="shared" si="1"/>
        <v>X</v>
      </c>
      <c r="W29" s="176">
        <f t="shared" si="13"/>
        <v>34.650000000000006</v>
      </c>
      <c r="X29" s="178" t="str">
        <f t="shared" si="14"/>
        <v xml:space="preserve"> </v>
      </c>
      <c r="Y29" s="176">
        <f t="shared" si="15"/>
        <v>0</v>
      </c>
      <c r="Z29" s="178" t="s">
        <v>2581</v>
      </c>
      <c r="AA29" s="178" t="str">
        <f t="shared" si="16"/>
        <v>X</v>
      </c>
      <c r="AB29" s="176">
        <f t="shared" si="17"/>
        <v>7.99</v>
      </c>
      <c r="AC29" s="178" t="str">
        <f t="shared" si="2"/>
        <v xml:space="preserve"> </v>
      </c>
      <c r="AD29" s="176">
        <f t="shared" si="18"/>
        <v>0</v>
      </c>
      <c r="AE29" s="178" t="str">
        <f t="shared" si="19"/>
        <v xml:space="preserve"> </v>
      </c>
      <c r="AF29" s="176">
        <f t="shared" si="20"/>
        <v>0</v>
      </c>
      <c r="AG29" s="178" t="str">
        <f t="shared" si="21"/>
        <v>X</v>
      </c>
      <c r="AH29" s="176">
        <f t="shared" si="22"/>
        <v>11.55</v>
      </c>
    </row>
    <row r="30" spans="2:36" ht="16.5" outlineLevel="1" x14ac:dyDescent="0.25">
      <c r="B30" s="175" t="s">
        <v>2602</v>
      </c>
      <c r="C30" s="176">
        <v>7.83</v>
      </c>
      <c r="D30" s="176">
        <v>11.85</v>
      </c>
      <c r="E30" s="193">
        <v>3</v>
      </c>
      <c r="F30" s="193">
        <v>0</v>
      </c>
      <c r="G30" s="193">
        <f t="shared" si="3"/>
        <v>3</v>
      </c>
      <c r="H30" s="177"/>
      <c r="I30" s="178" t="str">
        <f t="shared" si="4"/>
        <v>X</v>
      </c>
      <c r="J30" s="176">
        <f t="shared" si="5"/>
        <v>35.549999999999997</v>
      </c>
      <c r="K30" s="178" t="str">
        <f t="shared" si="6"/>
        <v xml:space="preserve"> </v>
      </c>
      <c r="L30" s="176">
        <f t="shared" si="0"/>
        <v>0</v>
      </c>
      <c r="M30" s="178" t="str">
        <f t="shared" si="7"/>
        <v>X</v>
      </c>
      <c r="N30" s="177">
        <f t="shared" si="8"/>
        <v>35.549999999999997</v>
      </c>
      <c r="O30" s="178" t="str">
        <f t="shared" si="9"/>
        <v xml:space="preserve"> </v>
      </c>
      <c r="P30" s="176">
        <f t="shared" si="10"/>
        <v>0</v>
      </c>
      <c r="Q30" s="178" t="s">
        <v>0</v>
      </c>
      <c r="R30" s="176"/>
      <c r="S30" s="178" t="s">
        <v>2579</v>
      </c>
      <c r="T30" s="178" t="str">
        <f t="shared" si="11"/>
        <v xml:space="preserve"> </v>
      </c>
      <c r="U30" s="176">
        <f t="shared" si="12"/>
        <v>0</v>
      </c>
      <c r="V30" s="178" t="str">
        <f t="shared" si="1"/>
        <v>X</v>
      </c>
      <c r="W30" s="176">
        <f t="shared" si="13"/>
        <v>35.549999999999997</v>
      </c>
      <c r="X30" s="178" t="str">
        <f t="shared" si="14"/>
        <v xml:space="preserve"> </v>
      </c>
      <c r="Y30" s="176">
        <f t="shared" si="15"/>
        <v>0</v>
      </c>
      <c r="Z30" s="178" t="s">
        <v>2581</v>
      </c>
      <c r="AA30" s="178" t="str">
        <f t="shared" si="16"/>
        <v>X</v>
      </c>
      <c r="AB30" s="176">
        <f t="shared" si="17"/>
        <v>7.83</v>
      </c>
      <c r="AC30" s="178" t="str">
        <f t="shared" si="2"/>
        <v xml:space="preserve"> </v>
      </c>
      <c r="AD30" s="176">
        <f t="shared" si="18"/>
        <v>0</v>
      </c>
      <c r="AE30" s="178" t="str">
        <f t="shared" si="19"/>
        <v xml:space="preserve"> </v>
      </c>
      <c r="AF30" s="176">
        <f t="shared" si="20"/>
        <v>0</v>
      </c>
      <c r="AG30" s="178" t="str">
        <f t="shared" si="21"/>
        <v>X</v>
      </c>
      <c r="AH30" s="176">
        <f t="shared" si="22"/>
        <v>11.85</v>
      </c>
    </row>
    <row r="31" spans="2:36" ht="16.5" outlineLevel="1" x14ac:dyDescent="0.25">
      <c r="B31" s="175" t="s">
        <v>2603</v>
      </c>
      <c r="C31" s="176">
        <v>4</v>
      </c>
      <c r="D31" s="176">
        <v>8.1199999999999992</v>
      </c>
      <c r="E31" s="193">
        <v>3</v>
      </c>
      <c r="F31" s="193">
        <v>0</v>
      </c>
      <c r="G31" s="193">
        <f t="shared" si="3"/>
        <v>3</v>
      </c>
      <c r="H31" s="177"/>
      <c r="I31" s="178" t="str">
        <f t="shared" si="4"/>
        <v>X</v>
      </c>
      <c r="J31" s="176">
        <f t="shared" si="5"/>
        <v>24.36</v>
      </c>
      <c r="K31" s="178" t="str">
        <f t="shared" si="6"/>
        <v xml:space="preserve"> </v>
      </c>
      <c r="L31" s="176">
        <f t="shared" si="0"/>
        <v>0</v>
      </c>
      <c r="M31" s="178" t="str">
        <f t="shared" si="7"/>
        <v>X</v>
      </c>
      <c r="N31" s="177">
        <f t="shared" si="8"/>
        <v>24.36</v>
      </c>
      <c r="O31" s="178" t="str">
        <f t="shared" si="9"/>
        <v xml:space="preserve"> </v>
      </c>
      <c r="P31" s="176">
        <f t="shared" si="10"/>
        <v>0</v>
      </c>
      <c r="Q31" s="178" t="s">
        <v>0</v>
      </c>
      <c r="R31" s="176"/>
      <c r="S31" s="178" t="s">
        <v>2578</v>
      </c>
      <c r="T31" s="178" t="str">
        <f t="shared" si="11"/>
        <v>X</v>
      </c>
      <c r="U31" s="176">
        <f t="shared" si="12"/>
        <v>24.36</v>
      </c>
      <c r="V31" s="178" t="str">
        <f t="shared" si="1"/>
        <v xml:space="preserve"> </v>
      </c>
      <c r="W31" s="176">
        <f t="shared" si="13"/>
        <v>0</v>
      </c>
      <c r="X31" s="178" t="str">
        <f t="shared" si="14"/>
        <v xml:space="preserve"> </v>
      </c>
      <c r="Y31" s="176">
        <f t="shared" si="15"/>
        <v>0</v>
      </c>
      <c r="Z31" s="178" t="s">
        <v>2581</v>
      </c>
      <c r="AA31" s="178" t="str">
        <f t="shared" si="16"/>
        <v>X</v>
      </c>
      <c r="AB31" s="176">
        <f t="shared" si="17"/>
        <v>4</v>
      </c>
      <c r="AC31" s="178" t="str">
        <f t="shared" si="2"/>
        <v xml:space="preserve"> </v>
      </c>
      <c r="AD31" s="176">
        <f t="shared" si="18"/>
        <v>0</v>
      </c>
      <c r="AE31" s="178" t="str">
        <f t="shared" si="19"/>
        <v xml:space="preserve"> </v>
      </c>
      <c r="AF31" s="176">
        <f t="shared" si="20"/>
        <v>0</v>
      </c>
      <c r="AG31" s="178" t="str">
        <f t="shared" si="21"/>
        <v>X</v>
      </c>
      <c r="AH31" s="176">
        <f t="shared" si="22"/>
        <v>8.1199999999999992</v>
      </c>
    </row>
    <row r="32" spans="2:36" ht="16.5" outlineLevel="1" x14ac:dyDescent="0.25">
      <c r="B32" s="175" t="s">
        <v>2604</v>
      </c>
      <c r="C32" s="176">
        <v>4.01</v>
      </c>
      <c r="D32" s="176">
        <v>8.1300000000000008</v>
      </c>
      <c r="E32" s="193">
        <v>3</v>
      </c>
      <c r="F32" s="193">
        <v>0</v>
      </c>
      <c r="G32" s="193">
        <f t="shared" si="3"/>
        <v>3</v>
      </c>
      <c r="H32" s="177"/>
      <c r="I32" s="178" t="str">
        <f t="shared" si="4"/>
        <v>X</v>
      </c>
      <c r="J32" s="176">
        <f t="shared" si="5"/>
        <v>24.39</v>
      </c>
      <c r="K32" s="178" t="str">
        <f t="shared" si="6"/>
        <v xml:space="preserve"> </v>
      </c>
      <c r="L32" s="176">
        <f t="shared" si="0"/>
        <v>0</v>
      </c>
      <c r="M32" s="178" t="str">
        <f t="shared" si="7"/>
        <v>X</v>
      </c>
      <c r="N32" s="177">
        <f t="shared" si="8"/>
        <v>24.39</v>
      </c>
      <c r="O32" s="178" t="str">
        <f t="shared" si="9"/>
        <v xml:space="preserve"> </v>
      </c>
      <c r="P32" s="176">
        <f t="shared" si="10"/>
        <v>0</v>
      </c>
      <c r="Q32" s="178" t="s">
        <v>0</v>
      </c>
      <c r="R32" s="176"/>
      <c r="S32" s="178" t="s">
        <v>2578</v>
      </c>
      <c r="T32" s="178" t="str">
        <f t="shared" si="11"/>
        <v>X</v>
      </c>
      <c r="U32" s="176">
        <f t="shared" si="12"/>
        <v>24.39</v>
      </c>
      <c r="V32" s="178" t="str">
        <f t="shared" si="1"/>
        <v xml:space="preserve"> </v>
      </c>
      <c r="W32" s="176">
        <f t="shared" si="13"/>
        <v>0</v>
      </c>
      <c r="X32" s="178" t="str">
        <f t="shared" si="14"/>
        <v xml:space="preserve"> </v>
      </c>
      <c r="Y32" s="176">
        <f t="shared" si="15"/>
        <v>0</v>
      </c>
      <c r="Z32" s="178" t="s">
        <v>2581</v>
      </c>
      <c r="AA32" s="178" t="str">
        <f t="shared" si="16"/>
        <v>X</v>
      </c>
      <c r="AB32" s="176">
        <f t="shared" si="17"/>
        <v>4.01</v>
      </c>
      <c r="AC32" s="178" t="str">
        <f t="shared" si="2"/>
        <v xml:space="preserve"> </v>
      </c>
      <c r="AD32" s="176">
        <f t="shared" si="18"/>
        <v>0</v>
      </c>
      <c r="AE32" s="178" t="str">
        <f t="shared" si="19"/>
        <v xml:space="preserve"> </v>
      </c>
      <c r="AF32" s="176">
        <f t="shared" si="20"/>
        <v>0</v>
      </c>
      <c r="AG32" s="178" t="str">
        <f t="shared" si="21"/>
        <v>X</v>
      </c>
      <c r="AH32" s="176">
        <f t="shared" si="22"/>
        <v>8.1300000000000008</v>
      </c>
    </row>
    <row r="33" spans="2:34" ht="16.5" outlineLevel="1" x14ac:dyDescent="0.25">
      <c r="B33" s="175" t="s">
        <v>2598</v>
      </c>
      <c r="C33" s="176">
        <v>3.8</v>
      </c>
      <c r="D33" s="176">
        <v>8.3000000000000007</v>
      </c>
      <c r="E33" s="193">
        <v>3</v>
      </c>
      <c r="F33" s="193">
        <v>0</v>
      </c>
      <c r="G33" s="193">
        <f t="shared" si="3"/>
        <v>3</v>
      </c>
      <c r="H33" s="177"/>
      <c r="I33" s="178" t="str">
        <f t="shared" si="4"/>
        <v>X</v>
      </c>
      <c r="J33" s="176">
        <f t="shared" si="5"/>
        <v>24.900000000000002</v>
      </c>
      <c r="K33" s="178" t="str">
        <f t="shared" si="6"/>
        <v xml:space="preserve"> </v>
      </c>
      <c r="L33" s="176">
        <f t="shared" si="0"/>
        <v>0</v>
      </c>
      <c r="M33" s="178" t="str">
        <f t="shared" si="7"/>
        <v>X</v>
      </c>
      <c r="N33" s="177">
        <f t="shared" si="8"/>
        <v>24.900000000000002</v>
      </c>
      <c r="O33" s="178" t="str">
        <f t="shared" si="9"/>
        <v xml:space="preserve"> </v>
      </c>
      <c r="P33" s="176">
        <f t="shared" si="10"/>
        <v>0</v>
      </c>
      <c r="Q33" s="178" t="s">
        <v>0</v>
      </c>
      <c r="R33" s="176"/>
      <c r="S33" s="178" t="s">
        <v>2579</v>
      </c>
      <c r="T33" s="178" t="str">
        <f t="shared" si="11"/>
        <v xml:space="preserve"> </v>
      </c>
      <c r="U33" s="176">
        <f t="shared" si="12"/>
        <v>0</v>
      </c>
      <c r="V33" s="178" t="str">
        <f t="shared" si="1"/>
        <v>X</v>
      </c>
      <c r="W33" s="176">
        <f t="shared" si="13"/>
        <v>24.900000000000002</v>
      </c>
      <c r="X33" s="178" t="str">
        <f t="shared" si="14"/>
        <v xml:space="preserve"> </v>
      </c>
      <c r="Y33" s="176">
        <f t="shared" si="15"/>
        <v>0</v>
      </c>
      <c r="Z33" s="178" t="s">
        <v>2581</v>
      </c>
      <c r="AA33" s="178" t="str">
        <f t="shared" si="16"/>
        <v>X</v>
      </c>
      <c r="AB33" s="176">
        <f t="shared" si="17"/>
        <v>3.8</v>
      </c>
      <c r="AC33" s="178" t="str">
        <f t="shared" si="2"/>
        <v xml:space="preserve"> </v>
      </c>
      <c r="AD33" s="176">
        <f t="shared" si="18"/>
        <v>0</v>
      </c>
      <c r="AE33" s="178" t="str">
        <f t="shared" si="19"/>
        <v xml:space="preserve"> </v>
      </c>
      <c r="AF33" s="176">
        <f t="shared" si="20"/>
        <v>0</v>
      </c>
      <c r="AG33" s="178" t="str">
        <f t="shared" si="21"/>
        <v>X</v>
      </c>
      <c r="AH33" s="176">
        <f t="shared" si="22"/>
        <v>8.3000000000000007</v>
      </c>
    </row>
    <row r="34" spans="2:34" ht="16.5" outlineLevel="1" x14ac:dyDescent="0.25">
      <c r="B34" s="175" t="s">
        <v>2605</v>
      </c>
      <c r="C34" s="176">
        <v>5.49</v>
      </c>
      <c r="D34" s="176">
        <v>9.4</v>
      </c>
      <c r="E34" s="193">
        <v>3</v>
      </c>
      <c r="F34" s="193">
        <v>0</v>
      </c>
      <c r="G34" s="193">
        <f t="shared" si="3"/>
        <v>3</v>
      </c>
      <c r="H34" s="177"/>
      <c r="I34" s="178" t="str">
        <f t="shared" si="4"/>
        <v>X</v>
      </c>
      <c r="J34" s="176">
        <f t="shared" si="5"/>
        <v>28.200000000000003</v>
      </c>
      <c r="K34" s="178" t="str">
        <f t="shared" si="6"/>
        <v xml:space="preserve"> </v>
      </c>
      <c r="L34" s="176">
        <f t="shared" si="0"/>
        <v>0</v>
      </c>
      <c r="M34" s="178" t="str">
        <f t="shared" si="7"/>
        <v>X</v>
      </c>
      <c r="N34" s="177">
        <f t="shared" si="8"/>
        <v>28.200000000000003</v>
      </c>
      <c r="O34" s="178" t="str">
        <f t="shared" si="9"/>
        <v xml:space="preserve"> </v>
      </c>
      <c r="P34" s="176">
        <f t="shared" si="10"/>
        <v>0</v>
      </c>
      <c r="Q34" s="178" t="s">
        <v>0</v>
      </c>
      <c r="R34" s="176"/>
      <c r="S34" s="178" t="s">
        <v>2578</v>
      </c>
      <c r="T34" s="178" t="str">
        <f t="shared" si="11"/>
        <v>X</v>
      </c>
      <c r="U34" s="176">
        <f t="shared" si="12"/>
        <v>28.200000000000003</v>
      </c>
      <c r="V34" s="178" t="str">
        <f t="shared" si="1"/>
        <v xml:space="preserve"> </v>
      </c>
      <c r="W34" s="176">
        <f t="shared" si="13"/>
        <v>0</v>
      </c>
      <c r="X34" s="178" t="str">
        <f t="shared" si="14"/>
        <v xml:space="preserve"> </v>
      </c>
      <c r="Y34" s="176">
        <f t="shared" si="15"/>
        <v>0</v>
      </c>
      <c r="Z34" s="178" t="s">
        <v>2581</v>
      </c>
      <c r="AA34" s="178" t="str">
        <f t="shared" si="16"/>
        <v>X</v>
      </c>
      <c r="AB34" s="176">
        <f t="shared" si="17"/>
        <v>5.49</v>
      </c>
      <c r="AC34" s="178" t="str">
        <f t="shared" si="2"/>
        <v xml:space="preserve"> </v>
      </c>
      <c r="AD34" s="176">
        <f t="shared" si="18"/>
        <v>0</v>
      </c>
      <c r="AE34" s="178" t="str">
        <f t="shared" si="19"/>
        <v xml:space="preserve"> </v>
      </c>
      <c r="AF34" s="176">
        <f t="shared" si="20"/>
        <v>0</v>
      </c>
      <c r="AG34" s="178" t="str">
        <f t="shared" si="21"/>
        <v>X</v>
      </c>
      <c r="AH34" s="176">
        <f t="shared" si="22"/>
        <v>9.4</v>
      </c>
    </row>
    <row r="35" spans="2:34" ht="16.5" outlineLevel="1" x14ac:dyDescent="0.25">
      <c r="B35" s="175" t="s">
        <v>2606</v>
      </c>
      <c r="C35" s="176">
        <v>36.44</v>
      </c>
      <c r="D35" s="176">
        <v>24.95</v>
      </c>
      <c r="E35" s="193">
        <v>3</v>
      </c>
      <c r="F35" s="193">
        <v>0</v>
      </c>
      <c r="G35" s="193">
        <f t="shared" si="3"/>
        <v>3</v>
      </c>
      <c r="H35" s="177"/>
      <c r="I35" s="178" t="str">
        <f t="shared" si="4"/>
        <v>X</v>
      </c>
      <c r="J35" s="176">
        <f t="shared" si="5"/>
        <v>74.849999999999994</v>
      </c>
      <c r="K35" s="178" t="str">
        <f t="shared" si="6"/>
        <v xml:space="preserve"> </v>
      </c>
      <c r="L35" s="176">
        <f t="shared" si="0"/>
        <v>0</v>
      </c>
      <c r="M35" s="178" t="str">
        <f t="shared" si="7"/>
        <v>X</v>
      </c>
      <c r="N35" s="177">
        <f t="shared" si="8"/>
        <v>74.849999999999994</v>
      </c>
      <c r="O35" s="178" t="str">
        <f t="shared" si="9"/>
        <v xml:space="preserve"> </v>
      </c>
      <c r="P35" s="176">
        <f t="shared" si="10"/>
        <v>0</v>
      </c>
      <c r="Q35" s="178" t="s">
        <v>0</v>
      </c>
      <c r="R35" s="176"/>
      <c r="S35" s="178" t="s">
        <v>2578</v>
      </c>
      <c r="T35" s="178" t="str">
        <f t="shared" si="11"/>
        <v>X</v>
      </c>
      <c r="U35" s="176">
        <f t="shared" si="12"/>
        <v>74.849999999999994</v>
      </c>
      <c r="V35" s="178" t="str">
        <f t="shared" si="1"/>
        <v xml:space="preserve"> </v>
      </c>
      <c r="W35" s="176">
        <f t="shared" si="13"/>
        <v>0</v>
      </c>
      <c r="X35" s="178" t="str">
        <f t="shared" si="14"/>
        <v xml:space="preserve"> </v>
      </c>
      <c r="Y35" s="176">
        <f t="shared" si="15"/>
        <v>0</v>
      </c>
      <c r="Z35" s="178" t="s">
        <v>2581</v>
      </c>
      <c r="AA35" s="178" t="str">
        <f t="shared" si="16"/>
        <v>X</v>
      </c>
      <c r="AB35" s="176">
        <f t="shared" si="17"/>
        <v>36.44</v>
      </c>
      <c r="AC35" s="178" t="str">
        <f t="shared" si="2"/>
        <v xml:space="preserve"> </v>
      </c>
      <c r="AD35" s="176">
        <f t="shared" si="18"/>
        <v>0</v>
      </c>
      <c r="AE35" s="178" t="str">
        <f t="shared" si="19"/>
        <v xml:space="preserve"> </v>
      </c>
      <c r="AF35" s="176">
        <f t="shared" si="20"/>
        <v>0</v>
      </c>
      <c r="AG35" s="178" t="str">
        <f t="shared" si="21"/>
        <v>X</v>
      </c>
      <c r="AH35" s="176">
        <f t="shared" si="22"/>
        <v>24.95</v>
      </c>
    </row>
    <row r="36" spans="2:34" ht="16.5" outlineLevel="1" x14ac:dyDescent="0.25">
      <c r="B36" s="175" t="s">
        <v>2607</v>
      </c>
      <c r="C36" s="176">
        <v>9.07</v>
      </c>
      <c r="D36" s="176">
        <v>12.16</v>
      </c>
      <c r="E36" s="193">
        <v>3</v>
      </c>
      <c r="F36" s="193">
        <v>0</v>
      </c>
      <c r="G36" s="193">
        <f t="shared" si="3"/>
        <v>3</v>
      </c>
      <c r="H36" s="177"/>
      <c r="I36" s="178" t="str">
        <f t="shared" si="4"/>
        <v>X</v>
      </c>
      <c r="J36" s="176">
        <f t="shared" si="5"/>
        <v>36.480000000000004</v>
      </c>
      <c r="K36" s="178" t="str">
        <f t="shared" si="6"/>
        <v xml:space="preserve"> </v>
      </c>
      <c r="L36" s="176">
        <f t="shared" si="0"/>
        <v>0</v>
      </c>
      <c r="M36" s="178" t="str">
        <f t="shared" si="7"/>
        <v>X</v>
      </c>
      <c r="N36" s="177">
        <f t="shared" si="8"/>
        <v>36.480000000000004</v>
      </c>
      <c r="O36" s="178" t="str">
        <f t="shared" si="9"/>
        <v xml:space="preserve"> </v>
      </c>
      <c r="P36" s="176">
        <f t="shared" si="10"/>
        <v>0</v>
      </c>
      <c r="Q36" s="178" t="s">
        <v>0</v>
      </c>
      <c r="R36" s="176"/>
      <c r="S36" s="178" t="s">
        <v>2578</v>
      </c>
      <c r="T36" s="178" t="str">
        <f t="shared" si="11"/>
        <v>X</v>
      </c>
      <c r="U36" s="176">
        <f t="shared" si="12"/>
        <v>36.480000000000004</v>
      </c>
      <c r="V36" s="178" t="str">
        <f t="shared" si="1"/>
        <v xml:space="preserve"> </v>
      </c>
      <c r="W36" s="176">
        <f t="shared" si="13"/>
        <v>0</v>
      </c>
      <c r="X36" s="178" t="str">
        <f t="shared" si="14"/>
        <v xml:space="preserve"> </v>
      </c>
      <c r="Y36" s="176">
        <f t="shared" si="15"/>
        <v>0</v>
      </c>
      <c r="Z36" s="178" t="s">
        <v>2581</v>
      </c>
      <c r="AA36" s="178" t="str">
        <f t="shared" si="16"/>
        <v>X</v>
      </c>
      <c r="AB36" s="176">
        <f t="shared" si="17"/>
        <v>9.07</v>
      </c>
      <c r="AC36" s="178" t="str">
        <f t="shared" si="2"/>
        <v xml:space="preserve"> </v>
      </c>
      <c r="AD36" s="176">
        <f t="shared" si="18"/>
        <v>0</v>
      </c>
      <c r="AE36" s="178" t="str">
        <f t="shared" si="19"/>
        <v xml:space="preserve"> </v>
      </c>
      <c r="AF36" s="176">
        <f t="shared" si="20"/>
        <v>0</v>
      </c>
      <c r="AG36" s="178" t="str">
        <f t="shared" si="21"/>
        <v>X</v>
      </c>
      <c r="AH36" s="176">
        <f t="shared" si="22"/>
        <v>12.16</v>
      </c>
    </row>
    <row r="37" spans="2:34" ht="16.5" outlineLevel="1" x14ac:dyDescent="0.25">
      <c r="B37" s="187" t="s">
        <v>2608</v>
      </c>
      <c r="C37" s="186">
        <v>41.7</v>
      </c>
      <c r="D37" s="186">
        <v>40.01</v>
      </c>
      <c r="E37" s="194">
        <v>3</v>
      </c>
      <c r="F37" s="194">
        <v>0</v>
      </c>
      <c r="G37" s="194">
        <f t="shared" si="3"/>
        <v>3</v>
      </c>
      <c r="H37" s="188"/>
      <c r="I37" s="183" t="str">
        <f t="shared" si="4"/>
        <v>X</v>
      </c>
      <c r="J37" s="186">
        <f t="shared" si="5"/>
        <v>120.03</v>
      </c>
      <c r="K37" s="183" t="str">
        <f t="shared" si="6"/>
        <v xml:space="preserve"> </v>
      </c>
      <c r="L37" s="186">
        <f t="shared" si="0"/>
        <v>0</v>
      </c>
      <c r="M37" s="183" t="str">
        <f t="shared" si="7"/>
        <v>X</v>
      </c>
      <c r="N37" s="188">
        <f t="shared" si="8"/>
        <v>120.03</v>
      </c>
      <c r="O37" s="183" t="str">
        <f t="shared" si="9"/>
        <v xml:space="preserve"> </v>
      </c>
      <c r="P37" s="186">
        <f t="shared" si="10"/>
        <v>0</v>
      </c>
      <c r="Q37" s="183" t="s">
        <v>0</v>
      </c>
      <c r="R37" s="186"/>
      <c r="S37" s="178" t="s">
        <v>2578</v>
      </c>
      <c r="T37" s="178" t="str">
        <f t="shared" si="11"/>
        <v>X</v>
      </c>
      <c r="U37" s="176">
        <f t="shared" si="12"/>
        <v>120.03</v>
      </c>
      <c r="V37" s="178" t="str">
        <f t="shared" si="1"/>
        <v xml:space="preserve"> </v>
      </c>
      <c r="W37" s="176">
        <f t="shared" si="13"/>
        <v>0</v>
      </c>
      <c r="X37" s="178" t="str">
        <f t="shared" si="14"/>
        <v xml:space="preserve"> </v>
      </c>
      <c r="Y37" s="176">
        <f t="shared" si="15"/>
        <v>0</v>
      </c>
      <c r="Z37" s="178" t="s">
        <v>2581</v>
      </c>
      <c r="AA37" s="178" t="str">
        <f t="shared" si="16"/>
        <v>X</v>
      </c>
      <c r="AB37" s="176">
        <f t="shared" si="17"/>
        <v>41.7</v>
      </c>
      <c r="AC37" s="178" t="str">
        <f t="shared" si="2"/>
        <v xml:space="preserve"> </v>
      </c>
      <c r="AD37" s="176">
        <f t="shared" si="18"/>
        <v>0</v>
      </c>
      <c r="AE37" s="178" t="str">
        <f t="shared" si="19"/>
        <v xml:space="preserve"> </v>
      </c>
      <c r="AF37" s="176">
        <f t="shared" si="20"/>
        <v>0</v>
      </c>
      <c r="AG37" s="178" t="str">
        <f t="shared" si="21"/>
        <v>X</v>
      </c>
      <c r="AH37" s="176">
        <f t="shared" si="22"/>
        <v>40.01</v>
      </c>
    </row>
    <row r="38" spans="2:34" ht="16.5" x14ac:dyDescent="0.25">
      <c r="B38" s="182"/>
      <c r="C38" s="185"/>
      <c r="D38" s="185"/>
      <c r="E38" s="185"/>
      <c r="F38" s="185"/>
      <c r="G38" s="185"/>
      <c r="H38" s="185"/>
      <c r="I38" s="184"/>
      <c r="J38" s="185"/>
      <c r="K38" s="184"/>
      <c r="L38" s="185"/>
      <c r="M38" s="184"/>
      <c r="N38" s="185"/>
      <c r="O38" s="201"/>
      <c r="P38" s="185"/>
      <c r="Q38" s="184"/>
      <c r="R38" s="189"/>
      <c r="S38" s="185"/>
      <c r="T38" s="184"/>
      <c r="U38" s="185"/>
      <c r="V38" s="184"/>
      <c r="W38" s="185"/>
      <c r="X38" s="184"/>
      <c r="Y38" s="189"/>
      <c r="Z38" s="185"/>
      <c r="AA38" s="184"/>
      <c r="AB38" s="185"/>
      <c r="AC38" s="184"/>
      <c r="AD38" s="185"/>
      <c r="AE38" s="184"/>
      <c r="AF38" s="189"/>
      <c r="AG38" s="184"/>
      <c r="AH38" s="189"/>
    </row>
    <row r="39" spans="2:34" ht="16.5" x14ac:dyDescent="0.25">
      <c r="B39" s="929" t="s">
        <v>2609</v>
      </c>
      <c r="C39" s="930"/>
      <c r="D39" s="930"/>
      <c r="E39" s="930"/>
      <c r="F39" s="930"/>
      <c r="G39" s="930"/>
      <c r="H39" s="931"/>
      <c r="I39" s="190" t="s">
        <v>2586</v>
      </c>
      <c r="J39" s="191">
        <f>SUBTOTAL(9,J40:J50)</f>
        <v>719.91000000000008</v>
      </c>
      <c r="K39" s="192" t="s">
        <v>2586</v>
      </c>
      <c r="L39" s="191">
        <f>SUBTOTAL(9,L40:L50)</f>
        <v>0</v>
      </c>
      <c r="M39" s="190" t="s">
        <v>2586</v>
      </c>
      <c r="N39" s="200">
        <f>SUBTOTAL(9,N40:N50)</f>
        <v>719.91000000000008</v>
      </c>
      <c r="O39" s="190" t="s">
        <v>2586</v>
      </c>
      <c r="P39" s="191">
        <f>SUBTOTAL(9,P40:P50)</f>
        <v>0</v>
      </c>
      <c r="Q39" s="190" t="s">
        <v>2586</v>
      </c>
      <c r="R39" s="191">
        <f>SUBTOTAL(9,R40:R50)</f>
        <v>0</v>
      </c>
      <c r="S39" s="191"/>
      <c r="T39" s="190" t="s">
        <v>2586</v>
      </c>
      <c r="U39" s="200">
        <f>SUBTOTAL(9,U40:U50)</f>
        <v>719.91000000000008</v>
      </c>
      <c r="V39" s="190" t="s">
        <v>2586</v>
      </c>
      <c r="W39" s="191">
        <f>SUBTOTAL(9,W40:W50)</f>
        <v>0</v>
      </c>
      <c r="X39" s="190" t="s">
        <v>2586</v>
      </c>
      <c r="Y39" s="191">
        <f>SUBTOTAL(9,Y40:Y50)</f>
        <v>0</v>
      </c>
      <c r="Z39" s="191"/>
      <c r="AA39" s="190" t="s">
        <v>2586</v>
      </c>
      <c r="AB39" s="200">
        <f>SUBTOTAL(9,AB40:AB50)</f>
        <v>323.14499999999992</v>
      </c>
      <c r="AC39" s="190" t="s">
        <v>2586</v>
      </c>
      <c r="AD39" s="191">
        <f>SUBTOTAL(9,AD40:AD50)</f>
        <v>0</v>
      </c>
      <c r="AE39" s="190" t="s">
        <v>2586</v>
      </c>
      <c r="AF39" s="191">
        <f>SUBTOTAL(9,AF40:AF50)</f>
        <v>0</v>
      </c>
      <c r="AG39" s="190" t="s">
        <v>2586</v>
      </c>
      <c r="AH39" s="191">
        <f>SUBTOTAL(9,AH40:AH50)</f>
        <v>239.97</v>
      </c>
    </row>
    <row r="40" spans="2:34" ht="16.5" outlineLevel="1" x14ac:dyDescent="0.25">
      <c r="B40" s="175" t="s">
        <v>2610</v>
      </c>
      <c r="C40" s="176">
        <v>51.7</v>
      </c>
      <c r="D40" s="176">
        <v>30.04</v>
      </c>
      <c r="E40" s="193">
        <v>3</v>
      </c>
      <c r="F40" s="193">
        <v>0</v>
      </c>
      <c r="G40" s="193">
        <f t="shared" ref="G40:G50" si="23">E40-F40</f>
        <v>3</v>
      </c>
      <c r="H40" s="176"/>
      <c r="I40" s="178" t="str">
        <f t="shared" si="4"/>
        <v>X</v>
      </c>
      <c r="J40" s="176">
        <f t="shared" ref="J40:J50" si="24">IF(I40="X",($D40-H40)*E40,0)</f>
        <v>90.12</v>
      </c>
      <c r="K40" s="178" t="str">
        <f t="shared" si="6"/>
        <v xml:space="preserve"> </v>
      </c>
      <c r="L40" s="176">
        <f t="shared" ref="L40:L50" si="25">IF(K40="X",($D40-H40)*F40,0)</f>
        <v>0</v>
      </c>
      <c r="M40" s="178" t="str">
        <f t="shared" si="7"/>
        <v>X</v>
      </c>
      <c r="N40" s="177">
        <f t="shared" si="8"/>
        <v>90.12</v>
      </c>
      <c r="O40" s="178" t="str">
        <f t="shared" si="9"/>
        <v xml:space="preserve"> </v>
      </c>
      <c r="P40" s="176">
        <f>IF(L40&gt;0,L40,0)</f>
        <v>0</v>
      </c>
      <c r="Q40" s="178" t="s">
        <v>0</v>
      </c>
      <c r="R40" s="176"/>
      <c r="S40" s="178" t="s">
        <v>2578</v>
      </c>
      <c r="T40" s="178" t="str">
        <f t="shared" ref="T40:T50" si="26">IF($S40="ACRÍLICA","X"," ")</f>
        <v>X</v>
      </c>
      <c r="U40" s="176">
        <f>IF(T40="X",$N40,0)</f>
        <v>90.12</v>
      </c>
      <c r="V40" s="178" t="str">
        <f t="shared" ref="V40:V50" si="27">IF($S40="EPÓXI","X"," ")</f>
        <v xml:space="preserve"> </v>
      </c>
      <c r="W40" s="176">
        <f>IF(V40="X",$N40,0)</f>
        <v>0</v>
      </c>
      <c r="X40" s="178" t="str">
        <f t="shared" ref="X40:X50" si="28">IF($S40="TEXTURA","X"," ")</f>
        <v xml:space="preserve"> </v>
      </c>
      <c r="Y40" s="176">
        <f>IF(X40="X",$N40,0)</f>
        <v>0</v>
      </c>
      <c r="Z40" s="178" t="s">
        <v>2581</v>
      </c>
      <c r="AA40" s="178" t="str">
        <f t="shared" ref="AA40:AA50" si="29">IF($Z40="ACARTONADO","X"," ")</f>
        <v>X</v>
      </c>
      <c r="AB40" s="176">
        <f t="shared" ref="AB40:AB50" si="30">IF(AA40="X",$C40,0)</f>
        <v>51.7</v>
      </c>
      <c r="AC40" s="178" t="str">
        <f t="shared" ref="AC40:AC50" si="31">IF($Z40="MINERAL","X"," ")</f>
        <v xml:space="preserve"> </v>
      </c>
      <c r="AD40" s="176">
        <f t="shared" ref="AD40:AD50" si="32">IF(AC40="X",$C40,0)</f>
        <v>0</v>
      </c>
      <c r="AE40" s="178" t="str">
        <f t="shared" ref="AE40:AE50" si="33">IF($Z40="LAJE","X"," ")</f>
        <v xml:space="preserve"> </v>
      </c>
      <c r="AF40" s="176">
        <f t="shared" ref="AF40:AF50" si="34">IF(AE40="X",$C40,0)</f>
        <v>0</v>
      </c>
      <c r="AG40" s="178" t="str">
        <f t="shared" ref="AG40:AG50" si="35">IF(K40="X","","X")</f>
        <v>X</v>
      </c>
      <c r="AH40" s="176">
        <f t="shared" ref="AH40:AH50" si="36">IF(AG40="X",$D40-H40,0)</f>
        <v>30.04</v>
      </c>
    </row>
    <row r="41" spans="2:34" ht="16.5" outlineLevel="1" x14ac:dyDescent="0.25">
      <c r="B41" s="175" t="s">
        <v>2607</v>
      </c>
      <c r="C41" s="176">
        <v>15.21</v>
      </c>
      <c r="D41" s="176">
        <v>15.75</v>
      </c>
      <c r="E41" s="193">
        <v>3</v>
      </c>
      <c r="F41" s="193">
        <v>0</v>
      </c>
      <c r="G41" s="193">
        <f t="shared" si="23"/>
        <v>3</v>
      </c>
      <c r="H41" s="176"/>
      <c r="I41" s="178" t="str">
        <f t="shared" si="4"/>
        <v>X</v>
      </c>
      <c r="J41" s="176">
        <f t="shared" si="24"/>
        <v>47.25</v>
      </c>
      <c r="K41" s="178" t="str">
        <f t="shared" si="6"/>
        <v xml:space="preserve"> </v>
      </c>
      <c r="L41" s="176">
        <f t="shared" si="25"/>
        <v>0</v>
      </c>
      <c r="M41" s="178" t="str">
        <f t="shared" si="7"/>
        <v>X</v>
      </c>
      <c r="N41" s="177">
        <f t="shared" si="8"/>
        <v>47.25</v>
      </c>
      <c r="O41" s="178" t="str">
        <f t="shared" si="9"/>
        <v xml:space="preserve"> </v>
      </c>
      <c r="P41" s="176">
        <f t="shared" ref="P41:P50" si="37">IF(L41&gt;0,L41,0)</f>
        <v>0</v>
      </c>
      <c r="Q41" s="178" t="s">
        <v>0</v>
      </c>
      <c r="R41" s="176"/>
      <c r="S41" s="178" t="s">
        <v>2578</v>
      </c>
      <c r="T41" s="178" t="str">
        <f t="shared" si="26"/>
        <v>X</v>
      </c>
      <c r="U41" s="176">
        <f t="shared" ref="U41:U50" si="38">IF(T41="X",$N41,0)</f>
        <v>47.25</v>
      </c>
      <c r="V41" s="178" t="str">
        <f t="shared" si="27"/>
        <v xml:space="preserve"> </v>
      </c>
      <c r="W41" s="176">
        <f t="shared" ref="W41:W50" si="39">IF(V41="X",$N41,0)</f>
        <v>0</v>
      </c>
      <c r="X41" s="178" t="str">
        <f t="shared" si="28"/>
        <v xml:space="preserve"> </v>
      </c>
      <c r="Y41" s="176">
        <f t="shared" ref="Y41:Y50" si="40">IF(X41="X",$N41,0)</f>
        <v>0</v>
      </c>
      <c r="Z41" s="178" t="s">
        <v>2581</v>
      </c>
      <c r="AA41" s="178" t="str">
        <f t="shared" si="29"/>
        <v>X</v>
      </c>
      <c r="AB41" s="176">
        <f t="shared" si="30"/>
        <v>15.21</v>
      </c>
      <c r="AC41" s="178" t="str">
        <f t="shared" si="31"/>
        <v xml:space="preserve"> </v>
      </c>
      <c r="AD41" s="176">
        <f t="shared" si="32"/>
        <v>0</v>
      </c>
      <c r="AE41" s="178" t="str">
        <f t="shared" si="33"/>
        <v xml:space="preserve"> </v>
      </c>
      <c r="AF41" s="176">
        <f t="shared" si="34"/>
        <v>0</v>
      </c>
      <c r="AG41" s="178" t="str">
        <f t="shared" si="35"/>
        <v>X</v>
      </c>
      <c r="AH41" s="176">
        <f t="shared" si="36"/>
        <v>15.75</v>
      </c>
    </row>
    <row r="42" spans="2:34" ht="16.5" outlineLevel="1" x14ac:dyDescent="0.25">
      <c r="B42" s="175" t="s">
        <v>2611</v>
      </c>
      <c r="C42" s="176">
        <v>15.35</v>
      </c>
      <c r="D42" s="176">
        <v>15.83</v>
      </c>
      <c r="E42" s="193">
        <v>3</v>
      </c>
      <c r="F42" s="193">
        <v>0</v>
      </c>
      <c r="G42" s="193">
        <f t="shared" si="23"/>
        <v>3</v>
      </c>
      <c r="H42" s="176"/>
      <c r="I42" s="178" t="str">
        <f t="shared" si="4"/>
        <v>X</v>
      </c>
      <c r="J42" s="176">
        <f t="shared" si="24"/>
        <v>47.49</v>
      </c>
      <c r="K42" s="178" t="str">
        <f t="shared" si="6"/>
        <v xml:space="preserve"> </v>
      </c>
      <c r="L42" s="176">
        <f t="shared" si="25"/>
        <v>0</v>
      </c>
      <c r="M42" s="178" t="str">
        <f t="shared" si="7"/>
        <v>X</v>
      </c>
      <c r="N42" s="177">
        <f t="shared" si="8"/>
        <v>47.49</v>
      </c>
      <c r="O42" s="178" t="str">
        <f t="shared" si="9"/>
        <v xml:space="preserve"> </v>
      </c>
      <c r="P42" s="176">
        <f t="shared" si="37"/>
        <v>0</v>
      </c>
      <c r="Q42" s="178" t="s">
        <v>0</v>
      </c>
      <c r="R42" s="176"/>
      <c r="S42" s="178" t="s">
        <v>2578</v>
      </c>
      <c r="T42" s="178" t="str">
        <f t="shared" si="26"/>
        <v>X</v>
      </c>
      <c r="U42" s="176">
        <f t="shared" si="38"/>
        <v>47.49</v>
      </c>
      <c r="V42" s="178" t="str">
        <f t="shared" si="27"/>
        <v xml:space="preserve"> </v>
      </c>
      <c r="W42" s="176">
        <f t="shared" si="39"/>
        <v>0</v>
      </c>
      <c r="X42" s="178" t="str">
        <f t="shared" si="28"/>
        <v xml:space="preserve"> </v>
      </c>
      <c r="Y42" s="176">
        <f t="shared" si="40"/>
        <v>0</v>
      </c>
      <c r="Z42" s="178" t="s">
        <v>2581</v>
      </c>
      <c r="AA42" s="178" t="str">
        <f t="shared" si="29"/>
        <v>X</v>
      </c>
      <c r="AB42" s="176">
        <f t="shared" si="30"/>
        <v>15.35</v>
      </c>
      <c r="AC42" s="178" t="str">
        <f t="shared" si="31"/>
        <v xml:space="preserve"> </v>
      </c>
      <c r="AD42" s="176">
        <f t="shared" si="32"/>
        <v>0</v>
      </c>
      <c r="AE42" s="178" t="str">
        <f t="shared" si="33"/>
        <v xml:space="preserve"> </v>
      </c>
      <c r="AF42" s="176">
        <f t="shared" si="34"/>
        <v>0</v>
      </c>
      <c r="AG42" s="178" t="str">
        <f t="shared" si="35"/>
        <v>X</v>
      </c>
      <c r="AH42" s="176">
        <f t="shared" si="36"/>
        <v>15.83</v>
      </c>
    </row>
    <row r="43" spans="2:34" ht="16.5" outlineLevel="1" x14ac:dyDescent="0.25">
      <c r="B43" s="175" t="s">
        <v>2612</v>
      </c>
      <c r="C43" s="176">
        <f>120.76-0.2475*2</f>
        <v>120.265</v>
      </c>
      <c r="D43" s="176">
        <v>47.58</v>
      </c>
      <c r="E43" s="193">
        <v>3</v>
      </c>
      <c r="F43" s="193">
        <v>0</v>
      </c>
      <c r="G43" s="193">
        <f t="shared" si="23"/>
        <v>3</v>
      </c>
      <c r="H43" s="176"/>
      <c r="I43" s="178" t="str">
        <f t="shared" si="4"/>
        <v>X</v>
      </c>
      <c r="J43" s="176">
        <f t="shared" si="24"/>
        <v>142.74</v>
      </c>
      <c r="K43" s="178" t="str">
        <f t="shared" si="6"/>
        <v xml:space="preserve"> </v>
      </c>
      <c r="L43" s="176">
        <f t="shared" si="25"/>
        <v>0</v>
      </c>
      <c r="M43" s="178" t="str">
        <f t="shared" si="7"/>
        <v>X</v>
      </c>
      <c r="N43" s="177">
        <f t="shared" si="8"/>
        <v>142.74</v>
      </c>
      <c r="O43" s="178" t="str">
        <f t="shared" si="9"/>
        <v xml:space="preserve"> </v>
      </c>
      <c r="P43" s="176">
        <f t="shared" si="37"/>
        <v>0</v>
      </c>
      <c r="Q43" s="178" t="s">
        <v>0</v>
      </c>
      <c r="R43" s="176"/>
      <c r="S43" s="178" t="s">
        <v>2578</v>
      </c>
      <c r="T43" s="178" t="str">
        <f t="shared" si="26"/>
        <v>X</v>
      </c>
      <c r="U43" s="176">
        <f t="shared" si="38"/>
        <v>142.74</v>
      </c>
      <c r="V43" s="178" t="str">
        <f t="shared" si="27"/>
        <v xml:space="preserve"> </v>
      </c>
      <c r="W43" s="176">
        <f t="shared" si="39"/>
        <v>0</v>
      </c>
      <c r="X43" s="178" t="str">
        <f t="shared" si="28"/>
        <v xml:space="preserve"> </v>
      </c>
      <c r="Y43" s="176">
        <f t="shared" si="40"/>
        <v>0</v>
      </c>
      <c r="Z43" s="178" t="s">
        <v>2581</v>
      </c>
      <c r="AA43" s="178" t="str">
        <f t="shared" si="29"/>
        <v>X</v>
      </c>
      <c r="AB43" s="176">
        <f t="shared" si="30"/>
        <v>120.265</v>
      </c>
      <c r="AC43" s="178" t="str">
        <f t="shared" si="31"/>
        <v xml:space="preserve"> </v>
      </c>
      <c r="AD43" s="176">
        <f t="shared" si="32"/>
        <v>0</v>
      </c>
      <c r="AE43" s="178" t="str">
        <f t="shared" si="33"/>
        <v xml:space="preserve"> </v>
      </c>
      <c r="AF43" s="176">
        <f t="shared" si="34"/>
        <v>0</v>
      </c>
      <c r="AG43" s="178" t="str">
        <f t="shared" si="35"/>
        <v>X</v>
      </c>
      <c r="AH43" s="176">
        <f t="shared" si="36"/>
        <v>47.58</v>
      </c>
    </row>
    <row r="44" spans="2:34" ht="16.5" outlineLevel="1" x14ac:dyDescent="0.25">
      <c r="B44" s="175" t="s">
        <v>2613</v>
      </c>
      <c r="C44" s="176">
        <v>11.22</v>
      </c>
      <c r="D44" s="176">
        <v>14.46</v>
      </c>
      <c r="E44" s="193">
        <v>3</v>
      </c>
      <c r="F44" s="193">
        <v>0</v>
      </c>
      <c r="G44" s="193">
        <f t="shared" si="23"/>
        <v>3</v>
      </c>
      <c r="H44" s="176"/>
      <c r="I44" s="178" t="str">
        <f t="shared" si="4"/>
        <v>X</v>
      </c>
      <c r="J44" s="176">
        <f t="shared" si="24"/>
        <v>43.38</v>
      </c>
      <c r="K44" s="178" t="str">
        <f t="shared" si="6"/>
        <v xml:space="preserve"> </v>
      </c>
      <c r="L44" s="176">
        <f t="shared" si="25"/>
        <v>0</v>
      </c>
      <c r="M44" s="178" t="str">
        <f t="shared" si="7"/>
        <v>X</v>
      </c>
      <c r="N44" s="177">
        <f t="shared" si="8"/>
        <v>43.38</v>
      </c>
      <c r="O44" s="178" t="str">
        <f t="shared" si="9"/>
        <v xml:space="preserve"> </v>
      </c>
      <c r="P44" s="176">
        <f t="shared" si="37"/>
        <v>0</v>
      </c>
      <c r="Q44" s="178" t="s">
        <v>0</v>
      </c>
      <c r="R44" s="176"/>
      <c r="S44" s="178" t="s">
        <v>2578</v>
      </c>
      <c r="T44" s="178" t="str">
        <f t="shared" si="26"/>
        <v>X</v>
      </c>
      <c r="U44" s="176">
        <f t="shared" si="38"/>
        <v>43.38</v>
      </c>
      <c r="V44" s="178" t="str">
        <f t="shared" si="27"/>
        <v xml:space="preserve"> </v>
      </c>
      <c r="W44" s="176">
        <f t="shared" si="39"/>
        <v>0</v>
      </c>
      <c r="X44" s="178" t="str">
        <f t="shared" si="28"/>
        <v xml:space="preserve"> </v>
      </c>
      <c r="Y44" s="176">
        <f t="shared" si="40"/>
        <v>0</v>
      </c>
      <c r="Z44" s="178" t="s">
        <v>2581</v>
      </c>
      <c r="AA44" s="178" t="str">
        <f t="shared" si="29"/>
        <v>X</v>
      </c>
      <c r="AB44" s="176">
        <f t="shared" si="30"/>
        <v>11.22</v>
      </c>
      <c r="AC44" s="178" t="str">
        <f t="shared" si="31"/>
        <v xml:space="preserve"> </v>
      </c>
      <c r="AD44" s="176">
        <f t="shared" si="32"/>
        <v>0</v>
      </c>
      <c r="AE44" s="178" t="str">
        <f t="shared" si="33"/>
        <v xml:space="preserve"> </v>
      </c>
      <c r="AF44" s="176">
        <f t="shared" si="34"/>
        <v>0</v>
      </c>
      <c r="AG44" s="178" t="str">
        <f t="shared" si="35"/>
        <v>X</v>
      </c>
      <c r="AH44" s="176">
        <f t="shared" si="36"/>
        <v>14.46</v>
      </c>
    </row>
    <row r="45" spans="2:34" ht="16.5" outlineLevel="1" x14ac:dyDescent="0.25">
      <c r="B45" s="175" t="s">
        <v>2614</v>
      </c>
      <c r="C45" s="176">
        <v>24.38</v>
      </c>
      <c r="D45" s="176">
        <v>19.8</v>
      </c>
      <c r="E45" s="193">
        <v>3</v>
      </c>
      <c r="F45" s="193">
        <v>0</v>
      </c>
      <c r="G45" s="193">
        <f t="shared" si="23"/>
        <v>3</v>
      </c>
      <c r="H45" s="176"/>
      <c r="I45" s="178" t="str">
        <f t="shared" si="4"/>
        <v>X</v>
      </c>
      <c r="J45" s="176">
        <f t="shared" si="24"/>
        <v>59.400000000000006</v>
      </c>
      <c r="K45" s="178" t="str">
        <f t="shared" si="6"/>
        <v xml:space="preserve"> </v>
      </c>
      <c r="L45" s="176">
        <f t="shared" si="25"/>
        <v>0</v>
      </c>
      <c r="M45" s="178" t="str">
        <f t="shared" si="7"/>
        <v>X</v>
      </c>
      <c r="N45" s="177">
        <f t="shared" si="8"/>
        <v>59.400000000000006</v>
      </c>
      <c r="O45" s="178" t="str">
        <f t="shared" si="9"/>
        <v xml:space="preserve"> </v>
      </c>
      <c r="P45" s="176">
        <f t="shared" si="37"/>
        <v>0</v>
      </c>
      <c r="Q45" s="178" t="s">
        <v>0</v>
      </c>
      <c r="R45" s="176"/>
      <c r="S45" s="178" t="s">
        <v>2578</v>
      </c>
      <c r="T45" s="178" t="str">
        <f t="shared" si="26"/>
        <v>X</v>
      </c>
      <c r="U45" s="176">
        <f t="shared" si="38"/>
        <v>59.400000000000006</v>
      </c>
      <c r="V45" s="178" t="str">
        <f t="shared" si="27"/>
        <v xml:space="preserve"> </v>
      </c>
      <c r="W45" s="176">
        <f t="shared" si="39"/>
        <v>0</v>
      </c>
      <c r="X45" s="178" t="str">
        <f t="shared" si="28"/>
        <v xml:space="preserve"> </v>
      </c>
      <c r="Y45" s="176">
        <f t="shared" si="40"/>
        <v>0</v>
      </c>
      <c r="Z45" s="178" t="s">
        <v>2581</v>
      </c>
      <c r="AA45" s="178" t="str">
        <f t="shared" si="29"/>
        <v>X</v>
      </c>
      <c r="AB45" s="176">
        <f t="shared" si="30"/>
        <v>24.38</v>
      </c>
      <c r="AC45" s="178" t="str">
        <f t="shared" si="31"/>
        <v xml:space="preserve"> </v>
      </c>
      <c r="AD45" s="176">
        <f t="shared" si="32"/>
        <v>0</v>
      </c>
      <c r="AE45" s="178" t="str">
        <f t="shared" si="33"/>
        <v xml:space="preserve"> </v>
      </c>
      <c r="AF45" s="176">
        <f t="shared" si="34"/>
        <v>0</v>
      </c>
      <c r="AG45" s="178" t="str">
        <f t="shared" si="35"/>
        <v>X</v>
      </c>
      <c r="AH45" s="176">
        <f t="shared" si="36"/>
        <v>19.8</v>
      </c>
    </row>
    <row r="46" spans="2:34" ht="16.5" outlineLevel="1" x14ac:dyDescent="0.25">
      <c r="B46" s="175" t="s">
        <v>2615</v>
      </c>
      <c r="C46" s="176">
        <v>35.51</v>
      </c>
      <c r="D46" s="176">
        <v>34.85</v>
      </c>
      <c r="E46" s="193">
        <v>3</v>
      </c>
      <c r="F46" s="193">
        <v>0</v>
      </c>
      <c r="G46" s="193">
        <f t="shared" si="23"/>
        <v>3</v>
      </c>
      <c r="H46" s="176"/>
      <c r="I46" s="178" t="str">
        <f t="shared" si="4"/>
        <v>X</v>
      </c>
      <c r="J46" s="176">
        <f t="shared" si="24"/>
        <v>104.55000000000001</v>
      </c>
      <c r="K46" s="178" t="str">
        <f t="shared" si="6"/>
        <v xml:space="preserve"> </v>
      </c>
      <c r="L46" s="176">
        <f t="shared" si="25"/>
        <v>0</v>
      </c>
      <c r="M46" s="178" t="str">
        <f t="shared" si="7"/>
        <v>X</v>
      </c>
      <c r="N46" s="177">
        <f t="shared" si="8"/>
        <v>104.55000000000001</v>
      </c>
      <c r="O46" s="178" t="str">
        <f t="shared" si="9"/>
        <v xml:space="preserve"> </v>
      </c>
      <c r="P46" s="176">
        <f t="shared" si="37"/>
        <v>0</v>
      </c>
      <c r="Q46" s="178" t="s">
        <v>0</v>
      </c>
      <c r="R46" s="176"/>
      <c r="S46" s="178" t="s">
        <v>2578</v>
      </c>
      <c r="T46" s="178" t="str">
        <f t="shared" si="26"/>
        <v>X</v>
      </c>
      <c r="U46" s="176">
        <f t="shared" si="38"/>
        <v>104.55000000000001</v>
      </c>
      <c r="V46" s="178" t="str">
        <f t="shared" si="27"/>
        <v xml:space="preserve"> </v>
      </c>
      <c r="W46" s="176">
        <f t="shared" si="39"/>
        <v>0</v>
      </c>
      <c r="X46" s="178" t="str">
        <f t="shared" si="28"/>
        <v xml:space="preserve"> </v>
      </c>
      <c r="Y46" s="176">
        <f t="shared" si="40"/>
        <v>0</v>
      </c>
      <c r="Z46" s="178" t="s">
        <v>2581</v>
      </c>
      <c r="AA46" s="178" t="str">
        <f t="shared" si="29"/>
        <v>X</v>
      </c>
      <c r="AB46" s="176">
        <f t="shared" si="30"/>
        <v>35.51</v>
      </c>
      <c r="AC46" s="178" t="str">
        <f t="shared" si="31"/>
        <v xml:space="preserve"> </v>
      </c>
      <c r="AD46" s="176">
        <f t="shared" si="32"/>
        <v>0</v>
      </c>
      <c r="AE46" s="178" t="str">
        <f t="shared" si="33"/>
        <v xml:space="preserve"> </v>
      </c>
      <c r="AF46" s="176">
        <f t="shared" si="34"/>
        <v>0</v>
      </c>
      <c r="AG46" s="178" t="str">
        <f t="shared" si="35"/>
        <v>X</v>
      </c>
      <c r="AH46" s="176">
        <f t="shared" si="36"/>
        <v>34.85</v>
      </c>
    </row>
    <row r="47" spans="2:34" ht="16.5" outlineLevel="1" x14ac:dyDescent="0.25">
      <c r="B47" s="175" t="s">
        <v>2616</v>
      </c>
      <c r="C47" s="176">
        <v>4.1399999999999997</v>
      </c>
      <c r="D47" s="176">
        <v>8.9</v>
      </c>
      <c r="E47" s="193">
        <v>3</v>
      </c>
      <c r="F47" s="193">
        <v>0</v>
      </c>
      <c r="G47" s="193">
        <f t="shared" si="23"/>
        <v>3</v>
      </c>
      <c r="H47" s="176"/>
      <c r="I47" s="178" t="str">
        <f t="shared" si="4"/>
        <v>X</v>
      </c>
      <c r="J47" s="176">
        <f t="shared" si="24"/>
        <v>26.700000000000003</v>
      </c>
      <c r="K47" s="178" t="str">
        <f t="shared" si="6"/>
        <v xml:space="preserve"> </v>
      </c>
      <c r="L47" s="176">
        <f t="shared" si="25"/>
        <v>0</v>
      </c>
      <c r="M47" s="178" t="str">
        <f t="shared" si="7"/>
        <v>X</v>
      </c>
      <c r="N47" s="177">
        <f t="shared" si="8"/>
        <v>26.700000000000003</v>
      </c>
      <c r="O47" s="178" t="str">
        <f t="shared" si="9"/>
        <v xml:space="preserve"> </v>
      </c>
      <c r="P47" s="176">
        <f t="shared" si="37"/>
        <v>0</v>
      </c>
      <c r="Q47" s="178" t="s">
        <v>0</v>
      </c>
      <c r="R47" s="176"/>
      <c r="S47" s="178" t="s">
        <v>2578</v>
      </c>
      <c r="T47" s="178" t="str">
        <f t="shared" si="26"/>
        <v>X</v>
      </c>
      <c r="U47" s="176">
        <f t="shared" si="38"/>
        <v>26.700000000000003</v>
      </c>
      <c r="V47" s="178" t="str">
        <f t="shared" si="27"/>
        <v xml:space="preserve"> </v>
      </c>
      <c r="W47" s="176">
        <f t="shared" si="39"/>
        <v>0</v>
      </c>
      <c r="X47" s="178" t="str">
        <f t="shared" si="28"/>
        <v xml:space="preserve"> </v>
      </c>
      <c r="Y47" s="176">
        <f t="shared" si="40"/>
        <v>0</v>
      </c>
      <c r="Z47" s="178" t="s">
        <v>2581</v>
      </c>
      <c r="AA47" s="178" t="str">
        <f t="shared" si="29"/>
        <v>X</v>
      </c>
      <c r="AB47" s="176">
        <f t="shared" si="30"/>
        <v>4.1399999999999997</v>
      </c>
      <c r="AC47" s="178" t="str">
        <f t="shared" si="31"/>
        <v xml:space="preserve"> </v>
      </c>
      <c r="AD47" s="176">
        <f t="shared" si="32"/>
        <v>0</v>
      </c>
      <c r="AE47" s="178" t="str">
        <f t="shared" si="33"/>
        <v xml:space="preserve"> </v>
      </c>
      <c r="AF47" s="176">
        <f t="shared" si="34"/>
        <v>0</v>
      </c>
      <c r="AG47" s="178" t="str">
        <f t="shared" si="35"/>
        <v>X</v>
      </c>
      <c r="AH47" s="176">
        <f t="shared" si="36"/>
        <v>8.9</v>
      </c>
    </row>
    <row r="48" spans="2:34" ht="16.5" outlineLevel="1" x14ac:dyDescent="0.25">
      <c r="B48" s="175" t="s">
        <v>2617</v>
      </c>
      <c r="C48" s="176">
        <v>35.520000000000003</v>
      </c>
      <c r="D48" s="176">
        <v>34.85</v>
      </c>
      <c r="E48" s="193">
        <v>3</v>
      </c>
      <c r="F48" s="193">
        <v>0</v>
      </c>
      <c r="G48" s="193">
        <f t="shared" si="23"/>
        <v>3</v>
      </c>
      <c r="H48" s="176"/>
      <c r="I48" s="178" t="str">
        <f t="shared" si="4"/>
        <v>X</v>
      </c>
      <c r="J48" s="176">
        <f t="shared" si="24"/>
        <v>104.55000000000001</v>
      </c>
      <c r="K48" s="178" t="str">
        <f t="shared" si="6"/>
        <v xml:space="preserve"> </v>
      </c>
      <c r="L48" s="176">
        <f t="shared" si="25"/>
        <v>0</v>
      </c>
      <c r="M48" s="178" t="str">
        <f t="shared" si="7"/>
        <v>X</v>
      </c>
      <c r="N48" s="177">
        <f t="shared" si="8"/>
        <v>104.55000000000001</v>
      </c>
      <c r="O48" s="178" t="str">
        <f t="shared" si="9"/>
        <v xml:space="preserve"> </v>
      </c>
      <c r="P48" s="176">
        <f t="shared" si="37"/>
        <v>0</v>
      </c>
      <c r="Q48" s="178" t="s">
        <v>0</v>
      </c>
      <c r="R48" s="176"/>
      <c r="S48" s="178" t="s">
        <v>2578</v>
      </c>
      <c r="T48" s="178" t="str">
        <f t="shared" si="26"/>
        <v>X</v>
      </c>
      <c r="U48" s="176">
        <f t="shared" si="38"/>
        <v>104.55000000000001</v>
      </c>
      <c r="V48" s="178" t="str">
        <f t="shared" si="27"/>
        <v xml:space="preserve"> </v>
      </c>
      <c r="W48" s="176">
        <f t="shared" si="39"/>
        <v>0</v>
      </c>
      <c r="X48" s="178" t="str">
        <f t="shared" si="28"/>
        <v xml:space="preserve"> </v>
      </c>
      <c r="Y48" s="176">
        <f t="shared" si="40"/>
        <v>0</v>
      </c>
      <c r="Z48" s="178" t="s">
        <v>2581</v>
      </c>
      <c r="AA48" s="178" t="str">
        <f t="shared" si="29"/>
        <v>X</v>
      </c>
      <c r="AB48" s="176">
        <f t="shared" si="30"/>
        <v>35.520000000000003</v>
      </c>
      <c r="AC48" s="178" t="str">
        <f t="shared" si="31"/>
        <v xml:space="preserve"> </v>
      </c>
      <c r="AD48" s="176">
        <f t="shared" si="32"/>
        <v>0</v>
      </c>
      <c r="AE48" s="178" t="str">
        <f t="shared" si="33"/>
        <v xml:space="preserve"> </v>
      </c>
      <c r="AF48" s="176">
        <f t="shared" si="34"/>
        <v>0</v>
      </c>
      <c r="AG48" s="178" t="str">
        <f t="shared" si="35"/>
        <v>X</v>
      </c>
      <c r="AH48" s="176">
        <f t="shared" si="36"/>
        <v>34.85</v>
      </c>
    </row>
    <row r="49" spans="2:34" ht="16.5" outlineLevel="1" x14ac:dyDescent="0.25">
      <c r="B49" s="175" t="s">
        <v>2618</v>
      </c>
      <c r="C49" s="176">
        <v>4.1399999999999997</v>
      </c>
      <c r="D49" s="176">
        <v>8.9</v>
      </c>
      <c r="E49" s="193">
        <v>3</v>
      </c>
      <c r="F49" s="193">
        <v>0</v>
      </c>
      <c r="G49" s="193">
        <f t="shared" si="23"/>
        <v>3</v>
      </c>
      <c r="H49" s="176"/>
      <c r="I49" s="178" t="str">
        <f t="shared" si="4"/>
        <v>X</v>
      </c>
      <c r="J49" s="176">
        <f t="shared" si="24"/>
        <v>26.700000000000003</v>
      </c>
      <c r="K49" s="178" t="str">
        <f t="shared" si="6"/>
        <v xml:space="preserve"> </v>
      </c>
      <c r="L49" s="176">
        <f t="shared" si="25"/>
        <v>0</v>
      </c>
      <c r="M49" s="178" t="str">
        <f t="shared" si="7"/>
        <v>X</v>
      </c>
      <c r="N49" s="177">
        <f t="shared" si="8"/>
        <v>26.700000000000003</v>
      </c>
      <c r="O49" s="178" t="str">
        <f t="shared" si="9"/>
        <v xml:space="preserve"> </v>
      </c>
      <c r="P49" s="176">
        <f t="shared" si="37"/>
        <v>0</v>
      </c>
      <c r="Q49" s="178" t="s">
        <v>0</v>
      </c>
      <c r="R49" s="176"/>
      <c r="S49" s="178" t="s">
        <v>2578</v>
      </c>
      <c r="T49" s="178" t="str">
        <f t="shared" si="26"/>
        <v>X</v>
      </c>
      <c r="U49" s="176">
        <f t="shared" si="38"/>
        <v>26.700000000000003</v>
      </c>
      <c r="V49" s="178" t="str">
        <f t="shared" si="27"/>
        <v xml:space="preserve"> </v>
      </c>
      <c r="W49" s="176">
        <f t="shared" si="39"/>
        <v>0</v>
      </c>
      <c r="X49" s="178" t="str">
        <f t="shared" si="28"/>
        <v xml:space="preserve"> </v>
      </c>
      <c r="Y49" s="176">
        <f t="shared" si="40"/>
        <v>0</v>
      </c>
      <c r="Z49" s="178" t="s">
        <v>2581</v>
      </c>
      <c r="AA49" s="178" t="str">
        <f t="shared" si="29"/>
        <v>X</v>
      </c>
      <c r="AB49" s="176">
        <f t="shared" si="30"/>
        <v>4.1399999999999997</v>
      </c>
      <c r="AC49" s="178" t="str">
        <f t="shared" si="31"/>
        <v xml:space="preserve"> </v>
      </c>
      <c r="AD49" s="176">
        <f t="shared" si="32"/>
        <v>0</v>
      </c>
      <c r="AE49" s="178" t="str">
        <f t="shared" si="33"/>
        <v xml:space="preserve"> </v>
      </c>
      <c r="AF49" s="176">
        <f t="shared" si="34"/>
        <v>0</v>
      </c>
      <c r="AG49" s="178" t="str">
        <f t="shared" si="35"/>
        <v>X</v>
      </c>
      <c r="AH49" s="176">
        <f t="shared" si="36"/>
        <v>8.9</v>
      </c>
    </row>
    <row r="50" spans="2:34" ht="16.5" outlineLevel="1" x14ac:dyDescent="0.25">
      <c r="B50" s="175" t="s">
        <v>2619</v>
      </c>
      <c r="C50" s="176">
        <v>5.71</v>
      </c>
      <c r="D50" s="176">
        <v>10.61</v>
      </c>
      <c r="E50" s="194">
        <v>3</v>
      </c>
      <c r="F50" s="194">
        <v>0</v>
      </c>
      <c r="G50" s="194">
        <f t="shared" si="23"/>
        <v>3</v>
      </c>
      <c r="H50" s="176">
        <v>1.6</v>
      </c>
      <c r="I50" s="178" t="str">
        <f t="shared" si="4"/>
        <v>X</v>
      </c>
      <c r="J50" s="176">
        <f t="shared" si="24"/>
        <v>27.03</v>
      </c>
      <c r="K50" s="178" t="str">
        <f t="shared" si="6"/>
        <v xml:space="preserve"> </v>
      </c>
      <c r="L50" s="176">
        <f t="shared" si="25"/>
        <v>0</v>
      </c>
      <c r="M50" s="178" t="str">
        <f t="shared" si="7"/>
        <v>X</v>
      </c>
      <c r="N50" s="177">
        <f t="shared" si="8"/>
        <v>27.03</v>
      </c>
      <c r="O50" s="178" t="str">
        <f t="shared" si="9"/>
        <v xml:space="preserve"> </v>
      </c>
      <c r="P50" s="176">
        <f t="shared" si="37"/>
        <v>0</v>
      </c>
      <c r="Q50" s="178" t="s">
        <v>0</v>
      </c>
      <c r="R50" s="176"/>
      <c r="S50" s="178" t="s">
        <v>2578</v>
      </c>
      <c r="T50" s="178" t="str">
        <f t="shared" si="26"/>
        <v>X</v>
      </c>
      <c r="U50" s="176">
        <f t="shared" si="38"/>
        <v>27.03</v>
      </c>
      <c r="V50" s="178" t="str">
        <f t="shared" si="27"/>
        <v xml:space="preserve"> </v>
      </c>
      <c r="W50" s="176">
        <f t="shared" si="39"/>
        <v>0</v>
      </c>
      <c r="X50" s="178" t="str">
        <f t="shared" si="28"/>
        <v xml:space="preserve"> </v>
      </c>
      <c r="Y50" s="176">
        <f t="shared" si="40"/>
        <v>0</v>
      </c>
      <c r="Z50" s="178" t="s">
        <v>2581</v>
      </c>
      <c r="AA50" s="178" t="str">
        <f t="shared" si="29"/>
        <v>X</v>
      </c>
      <c r="AB50" s="176">
        <f t="shared" si="30"/>
        <v>5.71</v>
      </c>
      <c r="AC50" s="178" t="str">
        <f t="shared" si="31"/>
        <v xml:space="preserve"> </v>
      </c>
      <c r="AD50" s="176">
        <f t="shared" si="32"/>
        <v>0</v>
      </c>
      <c r="AE50" s="178" t="str">
        <f t="shared" si="33"/>
        <v xml:space="preserve"> </v>
      </c>
      <c r="AF50" s="176">
        <f t="shared" si="34"/>
        <v>0</v>
      </c>
      <c r="AG50" s="178" t="str">
        <f t="shared" si="35"/>
        <v>X</v>
      </c>
      <c r="AH50" s="176">
        <f t="shared" si="36"/>
        <v>9.01</v>
      </c>
    </row>
    <row r="51" spans="2:34" ht="16.5" x14ac:dyDescent="0.25">
      <c r="B51" s="182"/>
      <c r="C51" s="185"/>
      <c r="D51" s="185"/>
      <c r="E51" s="185"/>
      <c r="F51" s="185"/>
      <c r="G51" s="185"/>
      <c r="H51" s="185"/>
      <c r="I51" s="184"/>
      <c r="J51" s="185"/>
      <c r="K51" s="184"/>
      <c r="L51" s="185"/>
      <c r="M51" s="184"/>
      <c r="N51" s="185"/>
      <c r="O51" s="201"/>
      <c r="P51" s="185"/>
      <c r="Q51" s="184"/>
      <c r="R51" s="189"/>
      <c r="S51" s="185"/>
      <c r="T51" s="184"/>
      <c r="U51" s="185"/>
      <c r="V51" s="184"/>
      <c r="W51" s="185"/>
      <c r="X51" s="184"/>
      <c r="Y51" s="189"/>
      <c r="Z51" s="185"/>
      <c r="AA51" s="184"/>
      <c r="AB51" s="185"/>
      <c r="AC51" s="184"/>
      <c r="AD51" s="185"/>
      <c r="AE51" s="184"/>
      <c r="AF51" s="189"/>
      <c r="AG51" s="184"/>
      <c r="AH51" s="189"/>
    </row>
    <row r="52" spans="2:34" ht="16.5" x14ac:dyDescent="0.25">
      <c r="B52" s="929" t="s">
        <v>2620</v>
      </c>
      <c r="C52" s="930"/>
      <c r="D52" s="930"/>
      <c r="E52" s="930"/>
      <c r="F52" s="930"/>
      <c r="G52" s="930"/>
      <c r="H52" s="931"/>
      <c r="I52" s="190" t="s">
        <v>2586</v>
      </c>
      <c r="J52" s="191">
        <f>SUBTOTAL(9,J53:J78)</f>
        <v>1248.27</v>
      </c>
      <c r="K52" s="192" t="s">
        <v>2586</v>
      </c>
      <c r="L52" s="191">
        <f>SUBTOTAL(9,L53:L78)</f>
        <v>1136.1300000000001</v>
      </c>
      <c r="M52" s="190" t="s">
        <v>2586</v>
      </c>
      <c r="N52" s="200">
        <f>SUBTOTAL(9,N53:N78)</f>
        <v>112.14</v>
      </c>
      <c r="O52" s="190" t="s">
        <v>2586</v>
      </c>
      <c r="P52" s="191">
        <f>SUBTOTAL(9,P53:P78)</f>
        <v>1136.1300000000001</v>
      </c>
      <c r="Q52" s="190" t="s">
        <v>2586</v>
      </c>
      <c r="R52" s="191">
        <f>SUBTOTAL(9,R53:R78)</f>
        <v>0</v>
      </c>
      <c r="S52" s="191"/>
      <c r="T52" s="190" t="s">
        <v>2586</v>
      </c>
      <c r="U52" s="200">
        <f>SUBTOTAL(9,U53:U78)</f>
        <v>112.14</v>
      </c>
      <c r="V52" s="190" t="s">
        <v>2586</v>
      </c>
      <c r="W52" s="191">
        <f>SUBTOTAL(9,W53:W78)</f>
        <v>0</v>
      </c>
      <c r="X52" s="190" t="s">
        <v>2586</v>
      </c>
      <c r="Y52" s="191">
        <f>SUBTOTAL(9,Y53:Y78)</f>
        <v>0</v>
      </c>
      <c r="Z52" s="191"/>
      <c r="AA52" s="190" t="s">
        <v>2586</v>
      </c>
      <c r="AB52" s="200">
        <f>SUBTOTAL(9,AB53:AB78)</f>
        <v>290.03000000000003</v>
      </c>
      <c r="AC52" s="190" t="s">
        <v>2586</v>
      </c>
      <c r="AD52" s="191">
        <f>SUBTOTAL(9,AD53:AD78)</f>
        <v>165.64</v>
      </c>
      <c r="AE52" s="190" t="s">
        <v>2586</v>
      </c>
      <c r="AF52" s="191">
        <f>SUBTOTAL(9,AF53:AF78)</f>
        <v>0</v>
      </c>
      <c r="AG52" s="190" t="s">
        <v>2586</v>
      </c>
      <c r="AH52" s="191">
        <f>SUBTOTAL(9,AH53:AH78)</f>
        <v>31.8</v>
      </c>
    </row>
    <row r="53" spans="2:34" ht="16.5" outlineLevel="1" x14ac:dyDescent="0.25">
      <c r="B53" s="175" t="s">
        <v>2621</v>
      </c>
      <c r="C53" s="176">
        <v>12.76</v>
      </c>
      <c r="D53" s="176">
        <v>16.2</v>
      </c>
      <c r="E53" s="194">
        <v>3</v>
      </c>
      <c r="F53" s="194">
        <v>3</v>
      </c>
      <c r="G53" s="194">
        <f>E53-F53</f>
        <v>0</v>
      </c>
      <c r="H53" s="176"/>
      <c r="I53" s="178" t="str">
        <f t="shared" si="4"/>
        <v>X</v>
      </c>
      <c r="J53" s="176">
        <f t="shared" ref="J53:J63" si="41">IF(I53="X",($D53-H53)*E53,0)</f>
        <v>48.599999999999994</v>
      </c>
      <c r="K53" s="178" t="str">
        <f t="shared" si="6"/>
        <v>X</v>
      </c>
      <c r="L53" s="176">
        <f t="shared" ref="L53:L63" si="42">IF(K53="X",($D53-H53)*F53,0)</f>
        <v>48.599999999999994</v>
      </c>
      <c r="M53" s="178" t="str">
        <f t="shared" si="7"/>
        <v>X</v>
      </c>
      <c r="N53" s="177">
        <f t="shared" ref="N53:N63" si="43">IF(M53="X",J53-L53,0)</f>
        <v>0</v>
      </c>
      <c r="O53" s="178" t="str">
        <f t="shared" si="9"/>
        <v>X</v>
      </c>
      <c r="P53" s="176">
        <f t="shared" ref="P53:P63" si="44">IF(L53&gt;0,L53,0)</f>
        <v>48.599999999999994</v>
      </c>
      <c r="Q53" s="178" t="s">
        <v>0</v>
      </c>
      <c r="R53" s="176"/>
      <c r="S53" s="178" t="s">
        <v>2578</v>
      </c>
      <c r="T53" s="178" t="str">
        <f t="shared" ref="T53:T78" si="45">IF($S53="ACRÍLICA","X"," ")</f>
        <v>X</v>
      </c>
      <c r="U53" s="176">
        <f>IF(T53="X",$N53,0)</f>
        <v>0</v>
      </c>
      <c r="V53" s="178" t="str">
        <f t="shared" ref="V53:V78" si="46">IF($S53="EPÓXI","X"," ")</f>
        <v xml:space="preserve"> </v>
      </c>
      <c r="W53" s="176">
        <f>IF(V53="X",$N53,0)</f>
        <v>0</v>
      </c>
      <c r="X53" s="178" t="str">
        <f t="shared" ref="X53:X78" si="47">IF($S53="TEXTURA","X"," ")</f>
        <v xml:space="preserve"> </v>
      </c>
      <c r="Y53" s="176">
        <f>IF(X53="X",$N53,0)</f>
        <v>0</v>
      </c>
      <c r="Z53" s="178" t="s">
        <v>2581</v>
      </c>
      <c r="AA53" s="178" t="str">
        <f t="shared" ref="AA53:AA78" si="48">IF($Z53="ACARTONADO","X"," ")</f>
        <v>X</v>
      </c>
      <c r="AB53" s="176">
        <f t="shared" ref="AB53:AB78" si="49">IF(AA53="X",$C53,0)</f>
        <v>12.76</v>
      </c>
      <c r="AC53" s="178" t="str">
        <f t="shared" ref="AC53:AC78" si="50">IF($Z53="MINERAL","X"," ")</f>
        <v xml:space="preserve"> </v>
      </c>
      <c r="AD53" s="176">
        <f t="shared" ref="AD53:AD78" si="51">IF(AC53="X",$C53,0)</f>
        <v>0</v>
      </c>
      <c r="AE53" s="178" t="str">
        <f t="shared" ref="AE53:AE78" si="52">IF($Z53="LAJE","X"," ")</f>
        <v xml:space="preserve"> </v>
      </c>
      <c r="AF53" s="176">
        <f t="shared" ref="AF53:AF78" si="53">IF(AE53="X",$C53,0)</f>
        <v>0</v>
      </c>
      <c r="AG53" s="178" t="str">
        <f t="shared" ref="AG53:AG78" si="54">IF(K53="X","","X")</f>
        <v/>
      </c>
      <c r="AH53" s="176">
        <f t="shared" ref="AH53:AH77" si="55">IF(AG53="X",$D53-H53,0)</f>
        <v>0</v>
      </c>
    </row>
    <row r="54" spans="2:34" ht="16.5" outlineLevel="1" x14ac:dyDescent="0.25">
      <c r="B54" s="175" t="s">
        <v>2591</v>
      </c>
      <c r="C54" s="176">
        <v>2.72</v>
      </c>
      <c r="D54" s="176">
        <v>6.6</v>
      </c>
      <c r="E54" s="194">
        <v>3</v>
      </c>
      <c r="F54" s="194">
        <v>2.1</v>
      </c>
      <c r="G54" s="194">
        <f t="shared" ref="G54:G78" si="56">E54-F54</f>
        <v>0.89999999999999991</v>
      </c>
      <c r="H54" s="176"/>
      <c r="I54" s="178" t="str">
        <f t="shared" si="4"/>
        <v>X</v>
      </c>
      <c r="J54" s="176">
        <f t="shared" si="41"/>
        <v>19.799999999999997</v>
      </c>
      <c r="K54" s="178" t="str">
        <f t="shared" si="6"/>
        <v>X</v>
      </c>
      <c r="L54" s="176">
        <f t="shared" si="42"/>
        <v>13.86</v>
      </c>
      <c r="M54" s="178" t="str">
        <f t="shared" si="7"/>
        <v>X</v>
      </c>
      <c r="N54" s="177">
        <f t="shared" si="43"/>
        <v>5.9399999999999977</v>
      </c>
      <c r="O54" s="178" t="str">
        <f t="shared" si="9"/>
        <v>X</v>
      </c>
      <c r="P54" s="176">
        <f t="shared" si="44"/>
        <v>13.86</v>
      </c>
      <c r="Q54" s="178" t="s">
        <v>0</v>
      </c>
      <c r="R54" s="176"/>
      <c r="S54" s="178" t="s">
        <v>2578</v>
      </c>
      <c r="T54" s="178" t="str">
        <f t="shared" si="45"/>
        <v>X</v>
      </c>
      <c r="U54" s="176">
        <f t="shared" ref="U54:U78" si="57">IF(T54="X",$N54,0)</f>
        <v>5.9399999999999977</v>
      </c>
      <c r="V54" s="178" t="str">
        <f t="shared" si="46"/>
        <v xml:space="preserve"> </v>
      </c>
      <c r="W54" s="176">
        <f t="shared" ref="W54:W78" si="58">IF(V54="X",$N54,0)</f>
        <v>0</v>
      </c>
      <c r="X54" s="178" t="str">
        <f t="shared" si="47"/>
        <v xml:space="preserve"> </v>
      </c>
      <c r="Y54" s="176">
        <f t="shared" ref="Y54:Y78" si="59">IF(X54="X",$N54,0)</f>
        <v>0</v>
      </c>
      <c r="Z54" s="178" t="s">
        <v>2581</v>
      </c>
      <c r="AA54" s="178" t="str">
        <f t="shared" si="48"/>
        <v>X</v>
      </c>
      <c r="AB54" s="176">
        <f t="shared" si="49"/>
        <v>2.72</v>
      </c>
      <c r="AC54" s="178" t="str">
        <f t="shared" si="50"/>
        <v xml:space="preserve"> </v>
      </c>
      <c r="AD54" s="176">
        <f t="shared" si="51"/>
        <v>0</v>
      </c>
      <c r="AE54" s="178" t="str">
        <f t="shared" si="52"/>
        <v xml:space="preserve"> </v>
      </c>
      <c r="AF54" s="176">
        <f t="shared" si="53"/>
        <v>0</v>
      </c>
      <c r="AG54" s="178" t="str">
        <f t="shared" si="54"/>
        <v/>
      </c>
      <c r="AH54" s="176">
        <f t="shared" si="55"/>
        <v>0</v>
      </c>
    </row>
    <row r="55" spans="2:34" ht="16.5" outlineLevel="1" x14ac:dyDescent="0.25">
      <c r="B55" s="175" t="s">
        <v>2598</v>
      </c>
      <c r="C55" s="176">
        <v>2.95</v>
      </c>
      <c r="D55" s="176">
        <v>6.9</v>
      </c>
      <c r="E55" s="194">
        <v>3</v>
      </c>
      <c r="F55" s="194">
        <v>0</v>
      </c>
      <c r="G55" s="194">
        <f t="shared" si="56"/>
        <v>3</v>
      </c>
      <c r="H55" s="176"/>
      <c r="I55" s="178" t="str">
        <f t="shared" si="4"/>
        <v>X</v>
      </c>
      <c r="J55" s="176">
        <f t="shared" si="41"/>
        <v>20.700000000000003</v>
      </c>
      <c r="K55" s="178" t="str">
        <f t="shared" si="6"/>
        <v xml:space="preserve"> </v>
      </c>
      <c r="L55" s="176">
        <f t="shared" si="42"/>
        <v>0</v>
      </c>
      <c r="M55" s="178" t="str">
        <f t="shared" si="7"/>
        <v>X</v>
      </c>
      <c r="N55" s="177">
        <f t="shared" si="43"/>
        <v>20.700000000000003</v>
      </c>
      <c r="O55" s="178" t="str">
        <f t="shared" si="9"/>
        <v xml:space="preserve"> </v>
      </c>
      <c r="P55" s="176">
        <f t="shared" si="44"/>
        <v>0</v>
      </c>
      <c r="Q55" s="178" t="s">
        <v>0</v>
      </c>
      <c r="R55" s="176"/>
      <c r="S55" s="178" t="s">
        <v>2578</v>
      </c>
      <c r="T55" s="178" t="str">
        <f t="shared" si="45"/>
        <v>X</v>
      </c>
      <c r="U55" s="176">
        <f t="shared" si="57"/>
        <v>20.700000000000003</v>
      </c>
      <c r="V55" s="178" t="str">
        <f t="shared" si="46"/>
        <v xml:space="preserve"> </v>
      </c>
      <c r="W55" s="176">
        <f t="shared" si="58"/>
        <v>0</v>
      </c>
      <c r="X55" s="178" t="str">
        <f t="shared" si="47"/>
        <v xml:space="preserve"> </v>
      </c>
      <c r="Y55" s="176">
        <f t="shared" si="59"/>
        <v>0</v>
      </c>
      <c r="Z55" s="178" t="s">
        <v>2581</v>
      </c>
      <c r="AA55" s="178" t="str">
        <f t="shared" si="48"/>
        <v>X</v>
      </c>
      <c r="AB55" s="176">
        <f t="shared" si="49"/>
        <v>2.95</v>
      </c>
      <c r="AC55" s="178" t="str">
        <f t="shared" si="50"/>
        <v xml:space="preserve"> </v>
      </c>
      <c r="AD55" s="176">
        <f t="shared" si="51"/>
        <v>0</v>
      </c>
      <c r="AE55" s="178" t="str">
        <f t="shared" si="52"/>
        <v xml:space="preserve"> </v>
      </c>
      <c r="AF55" s="176">
        <f t="shared" si="53"/>
        <v>0</v>
      </c>
      <c r="AG55" s="178" t="str">
        <f t="shared" si="54"/>
        <v>X</v>
      </c>
      <c r="AH55" s="176">
        <f t="shared" si="55"/>
        <v>6.9</v>
      </c>
    </row>
    <row r="56" spans="2:34" ht="16.5" outlineLevel="1" x14ac:dyDescent="0.25">
      <c r="B56" s="175" t="s">
        <v>2591</v>
      </c>
      <c r="C56" s="176">
        <v>2.72</v>
      </c>
      <c r="D56" s="176">
        <v>6.6</v>
      </c>
      <c r="E56" s="194">
        <v>3</v>
      </c>
      <c r="F56" s="194">
        <v>2.1</v>
      </c>
      <c r="G56" s="194">
        <f t="shared" si="56"/>
        <v>0.89999999999999991</v>
      </c>
      <c r="H56" s="176"/>
      <c r="I56" s="178" t="str">
        <f t="shared" si="4"/>
        <v>X</v>
      </c>
      <c r="J56" s="176">
        <f t="shared" si="41"/>
        <v>19.799999999999997</v>
      </c>
      <c r="K56" s="178" t="str">
        <f t="shared" si="6"/>
        <v>X</v>
      </c>
      <c r="L56" s="176">
        <f t="shared" si="42"/>
        <v>13.86</v>
      </c>
      <c r="M56" s="178" t="str">
        <f t="shared" si="7"/>
        <v>X</v>
      </c>
      <c r="N56" s="177">
        <f t="shared" si="43"/>
        <v>5.9399999999999977</v>
      </c>
      <c r="O56" s="178" t="str">
        <f t="shared" si="9"/>
        <v>X</v>
      </c>
      <c r="P56" s="176">
        <f t="shared" si="44"/>
        <v>13.86</v>
      </c>
      <c r="Q56" s="178" t="s">
        <v>0</v>
      </c>
      <c r="R56" s="176"/>
      <c r="S56" s="178" t="s">
        <v>2578</v>
      </c>
      <c r="T56" s="178" t="str">
        <f t="shared" si="45"/>
        <v>X</v>
      </c>
      <c r="U56" s="176">
        <f t="shared" si="57"/>
        <v>5.9399999999999977</v>
      </c>
      <c r="V56" s="178" t="str">
        <f t="shared" si="46"/>
        <v xml:space="preserve"> </v>
      </c>
      <c r="W56" s="176">
        <f t="shared" si="58"/>
        <v>0</v>
      </c>
      <c r="X56" s="178" t="str">
        <f t="shared" si="47"/>
        <v xml:space="preserve"> </v>
      </c>
      <c r="Y56" s="176">
        <f t="shared" si="59"/>
        <v>0</v>
      </c>
      <c r="Z56" s="178" t="s">
        <v>2581</v>
      </c>
      <c r="AA56" s="178" t="str">
        <f t="shared" si="48"/>
        <v>X</v>
      </c>
      <c r="AB56" s="176">
        <f t="shared" si="49"/>
        <v>2.72</v>
      </c>
      <c r="AC56" s="178" t="str">
        <f t="shared" si="50"/>
        <v xml:space="preserve"> </v>
      </c>
      <c r="AD56" s="176">
        <f t="shared" si="51"/>
        <v>0</v>
      </c>
      <c r="AE56" s="178" t="str">
        <f t="shared" si="52"/>
        <v xml:space="preserve"> </v>
      </c>
      <c r="AF56" s="176">
        <f t="shared" si="53"/>
        <v>0</v>
      </c>
      <c r="AG56" s="178" t="str">
        <f t="shared" si="54"/>
        <v/>
      </c>
      <c r="AH56" s="176">
        <f t="shared" si="55"/>
        <v>0</v>
      </c>
    </row>
    <row r="57" spans="2:34" ht="16.5" outlineLevel="1" x14ac:dyDescent="0.25">
      <c r="B57" s="175" t="s">
        <v>2622</v>
      </c>
      <c r="C57" s="176">
        <v>4.8499999999999996</v>
      </c>
      <c r="D57" s="176">
        <v>8.81</v>
      </c>
      <c r="E57" s="194">
        <v>3</v>
      </c>
      <c r="F57" s="194">
        <v>3</v>
      </c>
      <c r="G57" s="194">
        <f t="shared" si="56"/>
        <v>0</v>
      </c>
      <c r="H57" s="176"/>
      <c r="I57" s="178" t="str">
        <f t="shared" si="4"/>
        <v>X</v>
      </c>
      <c r="J57" s="176">
        <f t="shared" si="41"/>
        <v>26.43</v>
      </c>
      <c r="K57" s="178" t="str">
        <f t="shared" si="6"/>
        <v>X</v>
      </c>
      <c r="L57" s="176">
        <f t="shared" si="42"/>
        <v>26.43</v>
      </c>
      <c r="M57" s="178" t="str">
        <f t="shared" si="7"/>
        <v>X</v>
      </c>
      <c r="N57" s="177">
        <f t="shared" si="43"/>
        <v>0</v>
      </c>
      <c r="O57" s="178" t="str">
        <f t="shared" si="9"/>
        <v>X</v>
      </c>
      <c r="P57" s="176">
        <f t="shared" si="44"/>
        <v>26.43</v>
      </c>
      <c r="Q57" s="178" t="s">
        <v>0</v>
      </c>
      <c r="R57" s="176"/>
      <c r="S57" s="178" t="s">
        <v>2623</v>
      </c>
      <c r="T57" s="178" t="str">
        <f t="shared" si="45"/>
        <v xml:space="preserve"> </v>
      </c>
      <c r="U57" s="176">
        <f t="shared" si="57"/>
        <v>0</v>
      </c>
      <c r="V57" s="178" t="str">
        <f t="shared" si="46"/>
        <v xml:space="preserve"> </v>
      </c>
      <c r="W57" s="176">
        <f t="shared" si="58"/>
        <v>0</v>
      </c>
      <c r="X57" s="178" t="str">
        <f t="shared" si="47"/>
        <v xml:space="preserve"> </v>
      </c>
      <c r="Y57" s="176">
        <f t="shared" si="59"/>
        <v>0</v>
      </c>
      <c r="Z57" s="178" t="s">
        <v>2581</v>
      </c>
      <c r="AA57" s="178" t="str">
        <f t="shared" si="48"/>
        <v>X</v>
      </c>
      <c r="AB57" s="176">
        <f t="shared" si="49"/>
        <v>4.8499999999999996</v>
      </c>
      <c r="AC57" s="178" t="str">
        <f t="shared" si="50"/>
        <v xml:space="preserve"> </v>
      </c>
      <c r="AD57" s="176">
        <f t="shared" si="51"/>
        <v>0</v>
      </c>
      <c r="AE57" s="178" t="str">
        <f t="shared" si="52"/>
        <v xml:space="preserve"> </v>
      </c>
      <c r="AF57" s="176">
        <f t="shared" si="53"/>
        <v>0</v>
      </c>
      <c r="AG57" s="178" t="str">
        <f t="shared" si="54"/>
        <v/>
      </c>
      <c r="AH57" s="176">
        <f t="shared" si="55"/>
        <v>0</v>
      </c>
    </row>
    <row r="58" spans="2:34" ht="16.5" outlineLevel="1" x14ac:dyDescent="0.25">
      <c r="B58" s="175" t="s">
        <v>2624</v>
      </c>
      <c r="C58" s="176">
        <v>4.8499999999999996</v>
      </c>
      <c r="D58" s="176">
        <v>8.81</v>
      </c>
      <c r="E58" s="194">
        <v>3</v>
      </c>
      <c r="F58" s="194">
        <v>3</v>
      </c>
      <c r="G58" s="194">
        <f t="shared" si="56"/>
        <v>0</v>
      </c>
      <c r="H58" s="176"/>
      <c r="I58" s="178" t="str">
        <f t="shared" si="4"/>
        <v>X</v>
      </c>
      <c r="J58" s="176">
        <f t="shared" si="41"/>
        <v>26.43</v>
      </c>
      <c r="K58" s="178" t="str">
        <f t="shared" si="6"/>
        <v>X</v>
      </c>
      <c r="L58" s="176">
        <f t="shared" si="42"/>
        <v>26.43</v>
      </c>
      <c r="M58" s="178" t="str">
        <f t="shared" si="7"/>
        <v>X</v>
      </c>
      <c r="N58" s="177">
        <f t="shared" si="43"/>
        <v>0</v>
      </c>
      <c r="O58" s="178" t="str">
        <f t="shared" si="9"/>
        <v>X</v>
      </c>
      <c r="P58" s="176">
        <f t="shared" si="44"/>
        <v>26.43</v>
      </c>
      <c r="Q58" s="178" t="s">
        <v>0</v>
      </c>
      <c r="R58" s="176"/>
      <c r="S58" s="178" t="s">
        <v>2623</v>
      </c>
      <c r="T58" s="178" t="str">
        <f t="shared" si="45"/>
        <v xml:space="preserve"> </v>
      </c>
      <c r="U58" s="176">
        <f t="shared" si="57"/>
        <v>0</v>
      </c>
      <c r="V58" s="178" t="str">
        <f t="shared" si="46"/>
        <v xml:space="preserve"> </v>
      </c>
      <c r="W58" s="176">
        <f t="shared" si="58"/>
        <v>0</v>
      </c>
      <c r="X58" s="178" t="str">
        <f t="shared" si="47"/>
        <v xml:space="preserve"> </v>
      </c>
      <c r="Y58" s="176">
        <f t="shared" si="59"/>
        <v>0</v>
      </c>
      <c r="Z58" s="178" t="s">
        <v>2581</v>
      </c>
      <c r="AA58" s="178" t="str">
        <f t="shared" si="48"/>
        <v>X</v>
      </c>
      <c r="AB58" s="176">
        <f t="shared" si="49"/>
        <v>4.8499999999999996</v>
      </c>
      <c r="AC58" s="178" t="str">
        <f t="shared" si="50"/>
        <v xml:space="preserve"> </v>
      </c>
      <c r="AD58" s="176">
        <f t="shared" si="51"/>
        <v>0</v>
      </c>
      <c r="AE58" s="178" t="str">
        <f t="shared" si="52"/>
        <v xml:space="preserve"> </v>
      </c>
      <c r="AF58" s="176">
        <f t="shared" si="53"/>
        <v>0</v>
      </c>
      <c r="AG58" s="178" t="str">
        <f t="shared" si="54"/>
        <v/>
      </c>
      <c r="AH58" s="176">
        <f t="shared" si="55"/>
        <v>0</v>
      </c>
    </row>
    <row r="59" spans="2:34" ht="16.5" outlineLevel="1" x14ac:dyDescent="0.25">
      <c r="B59" s="175" t="s">
        <v>2594</v>
      </c>
      <c r="C59" s="176">
        <v>5.82</v>
      </c>
      <c r="D59" s="176">
        <v>11.4</v>
      </c>
      <c r="E59" s="194">
        <v>3</v>
      </c>
      <c r="F59" s="194">
        <v>3</v>
      </c>
      <c r="G59" s="194">
        <f t="shared" si="56"/>
        <v>0</v>
      </c>
      <c r="H59" s="176"/>
      <c r="I59" s="178" t="str">
        <f t="shared" si="4"/>
        <v>X</v>
      </c>
      <c r="J59" s="176">
        <f t="shared" si="41"/>
        <v>34.200000000000003</v>
      </c>
      <c r="K59" s="178" t="str">
        <f t="shared" si="6"/>
        <v>X</v>
      </c>
      <c r="L59" s="176">
        <f t="shared" si="42"/>
        <v>34.200000000000003</v>
      </c>
      <c r="M59" s="178" t="str">
        <f t="shared" si="7"/>
        <v>X</v>
      </c>
      <c r="N59" s="177">
        <f t="shared" si="43"/>
        <v>0</v>
      </c>
      <c r="O59" s="178" t="str">
        <f t="shared" si="9"/>
        <v>X</v>
      </c>
      <c r="P59" s="176">
        <f t="shared" si="44"/>
        <v>34.200000000000003</v>
      </c>
      <c r="Q59" s="178" t="s">
        <v>0</v>
      </c>
      <c r="R59" s="176"/>
      <c r="S59" s="178" t="s">
        <v>2623</v>
      </c>
      <c r="T59" s="178" t="str">
        <f t="shared" si="45"/>
        <v xml:space="preserve"> </v>
      </c>
      <c r="U59" s="176">
        <f t="shared" si="57"/>
        <v>0</v>
      </c>
      <c r="V59" s="178" t="str">
        <f t="shared" si="46"/>
        <v xml:space="preserve"> </v>
      </c>
      <c r="W59" s="176">
        <f t="shared" si="58"/>
        <v>0</v>
      </c>
      <c r="X59" s="178" t="str">
        <f t="shared" si="47"/>
        <v xml:space="preserve"> </v>
      </c>
      <c r="Y59" s="176">
        <f t="shared" si="59"/>
        <v>0</v>
      </c>
      <c r="Z59" s="178" t="s">
        <v>2582</v>
      </c>
      <c r="AA59" s="178" t="str">
        <f t="shared" si="48"/>
        <v xml:space="preserve"> </v>
      </c>
      <c r="AB59" s="176">
        <f t="shared" si="49"/>
        <v>0</v>
      </c>
      <c r="AC59" s="178" t="str">
        <f t="shared" si="50"/>
        <v>X</v>
      </c>
      <c r="AD59" s="176">
        <f t="shared" si="51"/>
        <v>5.82</v>
      </c>
      <c r="AE59" s="178" t="str">
        <f t="shared" si="52"/>
        <v xml:space="preserve"> </v>
      </c>
      <c r="AF59" s="176">
        <f t="shared" si="53"/>
        <v>0</v>
      </c>
      <c r="AG59" s="178" t="str">
        <f t="shared" si="54"/>
        <v/>
      </c>
      <c r="AH59" s="176">
        <f t="shared" si="55"/>
        <v>0</v>
      </c>
    </row>
    <row r="60" spans="2:34" ht="16.5" outlineLevel="1" x14ac:dyDescent="0.25">
      <c r="B60" s="175" t="s">
        <v>2625</v>
      </c>
      <c r="C60" s="176">
        <v>6.41</v>
      </c>
      <c r="D60" s="176">
        <v>10.199999999999999</v>
      </c>
      <c r="E60" s="194">
        <v>3</v>
      </c>
      <c r="F60" s="194">
        <v>3</v>
      </c>
      <c r="G60" s="194">
        <f t="shared" si="56"/>
        <v>0</v>
      </c>
      <c r="H60" s="176"/>
      <c r="I60" s="178" t="str">
        <f t="shared" si="4"/>
        <v>X</v>
      </c>
      <c r="J60" s="176">
        <f t="shared" si="41"/>
        <v>30.599999999999998</v>
      </c>
      <c r="K60" s="178" t="str">
        <f t="shared" si="6"/>
        <v>X</v>
      </c>
      <c r="L60" s="176">
        <f t="shared" si="42"/>
        <v>30.599999999999998</v>
      </c>
      <c r="M60" s="178" t="str">
        <f t="shared" si="7"/>
        <v>X</v>
      </c>
      <c r="N60" s="177">
        <f t="shared" si="43"/>
        <v>0</v>
      </c>
      <c r="O60" s="178" t="str">
        <f t="shared" si="9"/>
        <v>X</v>
      </c>
      <c r="P60" s="176">
        <f t="shared" si="44"/>
        <v>30.599999999999998</v>
      </c>
      <c r="Q60" s="178" t="s">
        <v>0</v>
      </c>
      <c r="R60" s="176"/>
      <c r="S60" s="178" t="s">
        <v>2623</v>
      </c>
      <c r="T60" s="178" t="str">
        <f t="shared" si="45"/>
        <v xml:space="preserve"> </v>
      </c>
      <c r="U60" s="176">
        <f t="shared" si="57"/>
        <v>0</v>
      </c>
      <c r="V60" s="178" t="str">
        <f t="shared" si="46"/>
        <v xml:space="preserve"> </v>
      </c>
      <c r="W60" s="176">
        <f t="shared" si="58"/>
        <v>0</v>
      </c>
      <c r="X60" s="178" t="str">
        <f t="shared" si="47"/>
        <v xml:space="preserve"> </v>
      </c>
      <c r="Y60" s="176">
        <f t="shared" si="59"/>
        <v>0</v>
      </c>
      <c r="Z60" s="178" t="s">
        <v>2581</v>
      </c>
      <c r="AA60" s="178" t="str">
        <f t="shared" si="48"/>
        <v>X</v>
      </c>
      <c r="AB60" s="176">
        <f t="shared" si="49"/>
        <v>6.41</v>
      </c>
      <c r="AC60" s="178" t="str">
        <f t="shared" si="50"/>
        <v xml:space="preserve"> </v>
      </c>
      <c r="AD60" s="176">
        <f t="shared" si="51"/>
        <v>0</v>
      </c>
      <c r="AE60" s="178" t="str">
        <f t="shared" si="52"/>
        <v xml:space="preserve"> </v>
      </c>
      <c r="AF60" s="176">
        <f t="shared" si="53"/>
        <v>0</v>
      </c>
      <c r="AG60" s="178" t="str">
        <f t="shared" si="54"/>
        <v/>
      </c>
      <c r="AH60" s="176">
        <f t="shared" si="55"/>
        <v>0</v>
      </c>
    </row>
    <row r="61" spans="2:34" ht="16.5" outlineLevel="1" x14ac:dyDescent="0.25">
      <c r="B61" s="175" t="s">
        <v>2626</v>
      </c>
      <c r="C61" s="176">
        <v>10.66</v>
      </c>
      <c r="D61" s="176">
        <v>15.21</v>
      </c>
      <c r="E61" s="194">
        <v>3</v>
      </c>
      <c r="F61" s="194">
        <v>3</v>
      </c>
      <c r="G61" s="194">
        <f t="shared" si="56"/>
        <v>0</v>
      </c>
      <c r="H61" s="176"/>
      <c r="I61" s="178" t="str">
        <f t="shared" si="4"/>
        <v>X</v>
      </c>
      <c r="J61" s="176">
        <f t="shared" si="41"/>
        <v>45.63</v>
      </c>
      <c r="K61" s="178" t="str">
        <f t="shared" si="6"/>
        <v>X</v>
      </c>
      <c r="L61" s="176">
        <f t="shared" si="42"/>
        <v>45.63</v>
      </c>
      <c r="M61" s="178" t="str">
        <f t="shared" si="7"/>
        <v>X</v>
      </c>
      <c r="N61" s="177">
        <f t="shared" si="43"/>
        <v>0</v>
      </c>
      <c r="O61" s="178" t="str">
        <f t="shared" si="9"/>
        <v>X</v>
      </c>
      <c r="P61" s="176">
        <f t="shared" si="44"/>
        <v>45.63</v>
      </c>
      <c r="Q61" s="178" t="s">
        <v>0</v>
      </c>
      <c r="R61" s="176"/>
      <c r="S61" s="178" t="s">
        <v>2623</v>
      </c>
      <c r="T61" s="178" t="str">
        <f t="shared" si="45"/>
        <v xml:space="preserve"> </v>
      </c>
      <c r="U61" s="176">
        <f t="shared" si="57"/>
        <v>0</v>
      </c>
      <c r="V61" s="178" t="str">
        <f t="shared" si="46"/>
        <v xml:space="preserve"> </v>
      </c>
      <c r="W61" s="176">
        <f t="shared" si="58"/>
        <v>0</v>
      </c>
      <c r="X61" s="178" t="str">
        <f t="shared" si="47"/>
        <v xml:space="preserve"> </v>
      </c>
      <c r="Y61" s="176">
        <f t="shared" si="59"/>
        <v>0</v>
      </c>
      <c r="Z61" s="178" t="s">
        <v>2581</v>
      </c>
      <c r="AA61" s="178" t="str">
        <f t="shared" si="48"/>
        <v>X</v>
      </c>
      <c r="AB61" s="176">
        <f t="shared" si="49"/>
        <v>10.66</v>
      </c>
      <c r="AC61" s="178" t="str">
        <f t="shared" si="50"/>
        <v xml:space="preserve"> </v>
      </c>
      <c r="AD61" s="176">
        <f t="shared" si="51"/>
        <v>0</v>
      </c>
      <c r="AE61" s="178" t="str">
        <f t="shared" si="52"/>
        <v xml:space="preserve"> </v>
      </c>
      <c r="AF61" s="176">
        <f t="shared" si="53"/>
        <v>0</v>
      </c>
      <c r="AG61" s="178" t="str">
        <f t="shared" si="54"/>
        <v/>
      </c>
      <c r="AH61" s="176">
        <f t="shared" si="55"/>
        <v>0</v>
      </c>
    </row>
    <row r="62" spans="2:34" ht="16.5" outlineLevel="1" x14ac:dyDescent="0.25">
      <c r="B62" s="175" t="s">
        <v>2627</v>
      </c>
      <c r="C62" s="176">
        <v>12.95</v>
      </c>
      <c r="D62" s="176">
        <v>15.45</v>
      </c>
      <c r="E62" s="194">
        <v>3</v>
      </c>
      <c r="F62" s="194">
        <v>3</v>
      </c>
      <c r="G62" s="194">
        <f t="shared" si="56"/>
        <v>0</v>
      </c>
      <c r="H62" s="176"/>
      <c r="I62" s="178" t="str">
        <f t="shared" si="4"/>
        <v>X</v>
      </c>
      <c r="J62" s="176">
        <f t="shared" si="41"/>
        <v>46.349999999999994</v>
      </c>
      <c r="K62" s="178" t="str">
        <f t="shared" si="6"/>
        <v>X</v>
      </c>
      <c r="L62" s="176">
        <f t="shared" si="42"/>
        <v>46.349999999999994</v>
      </c>
      <c r="M62" s="178" t="str">
        <f t="shared" si="7"/>
        <v>X</v>
      </c>
      <c r="N62" s="177">
        <f t="shared" si="43"/>
        <v>0</v>
      </c>
      <c r="O62" s="178" t="str">
        <f t="shared" si="9"/>
        <v>X</v>
      </c>
      <c r="P62" s="176">
        <f t="shared" si="44"/>
        <v>46.349999999999994</v>
      </c>
      <c r="Q62" s="178" t="s">
        <v>0</v>
      </c>
      <c r="R62" s="176"/>
      <c r="S62" s="178" t="s">
        <v>2623</v>
      </c>
      <c r="T62" s="178" t="str">
        <f t="shared" si="45"/>
        <v xml:space="preserve"> </v>
      </c>
      <c r="U62" s="176">
        <f t="shared" si="57"/>
        <v>0</v>
      </c>
      <c r="V62" s="178" t="str">
        <f t="shared" si="46"/>
        <v xml:space="preserve"> </v>
      </c>
      <c r="W62" s="176">
        <f t="shared" si="58"/>
        <v>0</v>
      </c>
      <c r="X62" s="178" t="str">
        <f t="shared" si="47"/>
        <v xml:space="preserve"> </v>
      </c>
      <c r="Y62" s="176">
        <f t="shared" si="59"/>
        <v>0</v>
      </c>
      <c r="Z62" s="178" t="s">
        <v>2581</v>
      </c>
      <c r="AA62" s="178" t="str">
        <f t="shared" si="48"/>
        <v>X</v>
      </c>
      <c r="AB62" s="176">
        <f t="shared" si="49"/>
        <v>12.95</v>
      </c>
      <c r="AC62" s="178" t="str">
        <f t="shared" si="50"/>
        <v xml:space="preserve"> </v>
      </c>
      <c r="AD62" s="176">
        <f t="shared" si="51"/>
        <v>0</v>
      </c>
      <c r="AE62" s="178" t="str">
        <f t="shared" si="52"/>
        <v xml:space="preserve"> </v>
      </c>
      <c r="AF62" s="176">
        <f t="shared" si="53"/>
        <v>0</v>
      </c>
      <c r="AG62" s="178" t="str">
        <f t="shared" si="54"/>
        <v/>
      </c>
      <c r="AH62" s="176">
        <f t="shared" si="55"/>
        <v>0</v>
      </c>
    </row>
    <row r="63" spans="2:34" ht="16.5" outlineLevel="1" x14ac:dyDescent="0.25">
      <c r="B63" s="175" t="s">
        <v>2628</v>
      </c>
      <c r="C63" s="176">
        <v>9.59</v>
      </c>
      <c r="D63" s="176">
        <v>12.57</v>
      </c>
      <c r="E63" s="194">
        <v>3</v>
      </c>
      <c r="F63" s="194">
        <v>3</v>
      </c>
      <c r="G63" s="194">
        <f t="shared" si="56"/>
        <v>0</v>
      </c>
      <c r="H63" s="176"/>
      <c r="I63" s="178" t="str">
        <f t="shared" si="4"/>
        <v>X</v>
      </c>
      <c r="J63" s="176">
        <f t="shared" si="41"/>
        <v>37.71</v>
      </c>
      <c r="K63" s="178" t="str">
        <f t="shared" si="6"/>
        <v>X</v>
      </c>
      <c r="L63" s="176">
        <f t="shared" si="42"/>
        <v>37.71</v>
      </c>
      <c r="M63" s="178" t="str">
        <f t="shared" si="7"/>
        <v>X</v>
      </c>
      <c r="N63" s="177">
        <f t="shared" si="43"/>
        <v>0</v>
      </c>
      <c r="O63" s="178" t="str">
        <f t="shared" si="9"/>
        <v>X</v>
      </c>
      <c r="P63" s="176">
        <f t="shared" si="44"/>
        <v>37.71</v>
      </c>
      <c r="Q63" s="178" t="s">
        <v>0</v>
      </c>
      <c r="R63" s="176"/>
      <c r="S63" s="178" t="s">
        <v>2623</v>
      </c>
      <c r="T63" s="178" t="str">
        <f t="shared" si="45"/>
        <v xml:space="preserve"> </v>
      </c>
      <c r="U63" s="176">
        <f t="shared" si="57"/>
        <v>0</v>
      </c>
      <c r="V63" s="178" t="str">
        <f t="shared" si="46"/>
        <v xml:space="preserve"> </v>
      </c>
      <c r="W63" s="176">
        <f t="shared" si="58"/>
        <v>0</v>
      </c>
      <c r="X63" s="178" t="str">
        <f t="shared" si="47"/>
        <v xml:space="preserve"> </v>
      </c>
      <c r="Y63" s="176">
        <f t="shared" si="59"/>
        <v>0</v>
      </c>
      <c r="Z63" s="178" t="s">
        <v>2581</v>
      </c>
      <c r="AA63" s="178" t="str">
        <f t="shared" si="48"/>
        <v>X</v>
      </c>
      <c r="AB63" s="176">
        <f t="shared" si="49"/>
        <v>9.59</v>
      </c>
      <c r="AC63" s="178" t="str">
        <f t="shared" si="50"/>
        <v xml:space="preserve"> </v>
      </c>
      <c r="AD63" s="176">
        <f t="shared" si="51"/>
        <v>0</v>
      </c>
      <c r="AE63" s="178" t="str">
        <f t="shared" si="52"/>
        <v xml:space="preserve"> </v>
      </c>
      <c r="AF63" s="176">
        <f t="shared" si="53"/>
        <v>0</v>
      </c>
      <c r="AG63" s="178" t="str">
        <f t="shared" si="54"/>
        <v/>
      </c>
      <c r="AH63" s="176">
        <f t="shared" si="55"/>
        <v>0</v>
      </c>
    </row>
    <row r="64" spans="2:34" ht="16.5" outlineLevel="1" x14ac:dyDescent="0.25">
      <c r="B64" s="175" t="s">
        <v>2629</v>
      </c>
      <c r="C64" s="176">
        <v>102.44</v>
      </c>
      <c r="D64" s="176">
        <v>45.65</v>
      </c>
      <c r="E64" s="194">
        <v>3</v>
      </c>
      <c r="F64" s="194">
        <v>3</v>
      </c>
      <c r="G64" s="194">
        <f t="shared" si="56"/>
        <v>0</v>
      </c>
      <c r="H64" s="176">
        <v>1.2</v>
      </c>
      <c r="I64" s="178" t="str">
        <f t="shared" si="4"/>
        <v>X</v>
      </c>
      <c r="J64" s="176">
        <f t="shared" ref="J64:J78" si="60">IF(I64="X",($D64-H64)*E64,0)</f>
        <v>133.35</v>
      </c>
      <c r="K64" s="178" t="str">
        <f t="shared" si="6"/>
        <v>X</v>
      </c>
      <c r="L64" s="176">
        <f t="shared" ref="L64:L78" si="61">IF(K64="X",($D64-H64)*F64,0)</f>
        <v>133.35</v>
      </c>
      <c r="M64" s="178" t="str">
        <f t="shared" si="7"/>
        <v>X</v>
      </c>
      <c r="N64" s="177">
        <f t="shared" ref="N64:N78" si="62">IF(M64="X",J64-L64,0)</f>
        <v>0</v>
      </c>
      <c r="O64" s="178" t="str">
        <f t="shared" si="9"/>
        <v>X</v>
      </c>
      <c r="P64" s="176">
        <f t="shared" ref="P64:P78" si="63">IF(L64&gt;0,L64,0)</f>
        <v>133.35</v>
      </c>
      <c r="Q64" s="178" t="s">
        <v>0</v>
      </c>
      <c r="R64" s="176"/>
      <c r="S64" s="178" t="s">
        <v>2623</v>
      </c>
      <c r="T64" s="178" t="str">
        <f t="shared" si="45"/>
        <v xml:space="preserve"> </v>
      </c>
      <c r="U64" s="176">
        <f t="shared" si="57"/>
        <v>0</v>
      </c>
      <c r="V64" s="178" t="str">
        <f t="shared" si="46"/>
        <v xml:space="preserve"> </v>
      </c>
      <c r="W64" s="176">
        <f t="shared" si="58"/>
        <v>0</v>
      </c>
      <c r="X64" s="178" t="str">
        <f t="shared" si="47"/>
        <v xml:space="preserve"> </v>
      </c>
      <c r="Y64" s="176">
        <f t="shared" si="59"/>
        <v>0</v>
      </c>
      <c r="Z64" s="178" t="s">
        <v>2581</v>
      </c>
      <c r="AA64" s="178" t="str">
        <f t="shared" si="48"/>
        <v>X</v>
      </c>
      <c r="AB64" s="176">
        <f t="shared" si="49"/>
        <v>102.44</v>
      </c>
      <c r="AC64" s="178" t="str">
        <f t="shared" si="50"/>
        <v xml:space="preserve"> </v>
      </c>
      <c r="AD64" s="176">
        <f t="shared" si="51"/>
        <v>0</v>
      </c>
      <c r="AE64" s="178" t="str">
        <f t="shared" si="52"/>
        <v xml:space="preserve"> </v>
      </c>
      <c r="AF64" s="176">
        <f t="shared" si="53"/>
        <v>0</v>
      </c>
      <c r="AG64" s="178" t="str">
        <f t="shared" si="54"/>
        <v/>
      </c>
      <c r="AH64" s="176">
        <f t="shared" si="55"/>
        <v>0</v>
      </c>
    </row>
    <row r="65" spans="2:34" ht="16.5" outlineLevel="1" x14ac:dyDescent="0.25">
      <c r="B65" s="175" t="s">
        <v>2594</v>
      </c>
      <c r="C65" s="176">
        <v>17.53</v>
      </c>
      <c r="D65" s="176">
        <v>21.38</v>
      </c>
      <c r="E65" s="194">
        <v>3</v>
      </c>
      <c r="F65" s="194">
        <v>3</v>
      </c>
      <c r="G65" s="194">
        <f t="shared" si="56"/>
        <v>0</v>
      </c>
      <c r="H65" s="176">
        <f>1.2+1.52+2.25+3.27</f>
        <v>8.24</v>
      </c>
      <c r="I65" s="178" t="str">
        <f t="shared" si="4"/>
        <v>X</v>
      </c>
      <c r="J65" s="176">
        <f t="shared" si="60"/>
        <v>39.419999999999995</v>
      </c>
      <c r="K65" s="178" t="str">
        <f t="shared" si="6"/>
        <v>X</v>
      </c>
      <c r="L65" s="176">
        <f t="shared" si="61"/>
        <v>39.419999999999995</v>
      </c>
      <c r="M65" s="178" t="str">
        <f t="shared" si="7"/>
        <v>X</v>
      </c>
      <c r="N65" s="177">
        <f t="shared" si="62"/>
        <v>0</v>
      </c>
      <c r="O65" s="178" t="str">
        <f t="shared" si="9"/>
        <v>X</v>
      </c>
      <c r="P65" s="176">
        <f t="shared" si="63"/>
        <v>39.419999999999995</v>
      </c>
      <c r="Q65" s="178" t="s">
        <v>0</v>
      </c>
      <c r="R65" s="176"/>
      <c r="S65" s="178" t="s">
        <v>2623</v>
      </c>
      <c r="T65" s="178" t="str">
        <f t="shared" si="45"/>
        <v xml:space="preserve"> </v>
      </c>
      <c r="U65" s="176">
        <f t="shared" si="57"/>
        <v>0</v>
      </c>
      <c r="V65" s="178" t="str">
        <f t="shared" si="46"/>
        <v xml:space="preserve"> </v>
      </c>
      <c r="W65" s="176">
        <f t="shared" si="58"/>
        <v>0</v>
      </c>
      <c r="X65" s="178" t="str">
        <f t="shared" si="47"/>
        <v xml:space="preserve"> </v>
      </c>
      <c r="Y65" s="176">
        <f t="shared" si="59"/>
        <v>0</v>
      </c>
      <c r="Z65" s="178" t="s">
        <v>2582</v>
      </c>
      <c r="AA65" s="178" t="str">
        <f t="shared" si="48"/>
        <v xml:space="preserve"> </v>
      </c>
      <c r="AB65" s="176">
        <f t="shared" si="49"/>
        <v>0</v>
      </c>
      <c r="AC65" s="178" t="str">
        <f t="shared" si="50"/>
        <v>X</v>
      </c>
      <c r="AD65" s="176">
        <f t="shared" si="51"/>
        <v>17.53</v>
      </c>
      <c r="AE65" s="178" t="str">
        <f t="shared" si="52"/>
        <v xml:space="preserve"> </v>
      </c>
      <c r="AF65" s="176">
        <f t="shared" si="53"/>
        <v>0</v>
      </c>
      <c r="AG65" s="178" t="str">
        <f t="shared" si="54"/>
        <v/>
      </c>
      <c r="AH65" s="176">
        <f t="shared" si="55"/>
        <v>0</v>
      </c>
    </row>
    <row r="66" spans="2:34" ht="16.5" outlineLevel="1" x14ac:dyDescent="0.25">
      <c r="B66" s="175" t="s">
        <v>2630</v>
      </c>
      <c r="C66" s="176">
        <v>7.07</v>
      </c>
      <c r="D66" s="176">
        <v>10.8</v>
      </c>
      <c r="E66" s="194">
        <v>3</v>
      </c>
      <c r="F66" s="194">
        <v>3</v>
      </c>
      <c r="G66" s="194">
        <f t="shared" si="56"/>
        <v>0</v>
      </c>
      <c r="H66" s="176">
        <v>1.1200000000000001</v>
      </c>
      <c r="I66" s="178" t="str">
        <f t="shared" si="4"/>
        <v>X</v>
      </c>
      <c r="J66" s="176">
        <f t="shared" si="60"/>
        <v>29.04</v>
      </c>
      <c r="K66" s="178" t="str">
        <f t="shared" si="6"/>
        <v>X</v>
      </c>
      <c r="L66" s="176">
        <f t="shared" si="61"/>
        <v>29.04</v>
      </c>
      <c r="M66" s="178" t="str">
        <f t="shared" si="7"/>
        <v>X</v>
      </c>
      <c r="N66" s="177">
        <f t="shared" si="62"/>
        <v>0</v>
      </c>
      <c r="O66" s="178" t="str">
        <f t="shared" si="9"/>
        <v>X</v>
      </c>
      <c r="P66" s="176">
        <f t="shared" si="63"/>
        <v>29.04</v>
      </c>
      <c r="Q66" s="178" t="s">
        <v>0</v>
      </c>
      <c r="R66" s="176"/>
      <c r="S66" s="178" t="s">
        <v>2623</v>
      </c>
      <c r="T66" s="178" t="str">
        <f t="shared" si="45"/>
        <v xml:space="preserve"> </v>
      </c>
      <c r="U66" s="176">
        <f t="shared" si="57"/>
        <v>0</v>
      </c>
      <c r="V66" s="178" t="str">
        <f t="shared" si="46"/>
        <v xml:space="preserve"> </v>
      </c>
      <c r="W66" s="176">
        <f t="shared" si="58"/>
        <v>0</v>
      </c>
      <c r="X66" s="178" t="str">
        <f t="shared" si="47"/>
        <v xml:space="preserve"> </v>
      </c>
      <c r="Y66" s="176">
        <f t="shared" si="59"/>
        <v>0</v>
      </c>
      <c r="Z66" s="178" t="s">
        <v>2581</v>
      </c>
      <c r="AA66" s="178" t="str">
        <f t="shared" si="48"/>
        <v>X</v>
      </c>
      <c r="AB66" s="176">
        <f t="shared" si="49"/>
        <v>7.07</v>
      </c>
      <c r="AC66" s="178" t="str">
        <f t="shared" si="50"/>
        <v xml:space="preserve"> </v>
      </c>
      <c r="AD66" s="176">
        <f t="shared" si="51"/>
        <v>0</v>
      </c>
      <c r="AE66" s="178" t="str">
        <f t="shared" si="52"/>
        <v xml:space="preserve"> </v>
      </c>
      <c r="AF66" s="176">
        <f t="shared" si="53"/>
        <v>0</v>
      </c>
      <c r="AG66" s="178" t="str">
        <f t="shared" si="54"/>
        <v/>
      </c>
      <c r="AH66" s="176">
        <f t="shared" si="55"/>
        <v>0</v>
      </c>
    </row>
    <row r="67" spans="2:34" ht="16.5" outlineLevel="1" x14ac:dyDescent="0.25">
      <c r="B67" s="175" t="s">
        <v>2631</v>
      </c>
      <c r="C67" s="176">
        <v>7</v>
      </c>
      <c r="D67" s="176">
        <v>10.75</v>
      </c>
      <c r="E67" s="194">
        <v>3</v>
      </c>
      <c r="F67" s="194">
        <v>3</v>
      </c>
      <c r="G67" s="194">
        <f t="shared" si="56"/>
        <v>0</v>
      </c>
      <c r="H67" s="176">
        <v>1.1200000000000001</v>
      </c>
      <c r="I67" s="178" t="str">
        <f t="shared" si="4"/>
        <v>X</v>
      </c>
      <c r="J67" s="176">
        <f t="shared" si="60"/>
        <v>28.889999999999997</v>
      </c>
      <c r="K67" s="178" t="str">
        <f t="shared" si="6"/>
        <v>X</v>
      </c>
      <c r="L67" s="176">
        <f t="shared" si="61"/>
        <v>28.889999999999997</v>
      </c>
      <c r="M67" s="178" t="str">
        <f t="shared" si="7"/>
        <v>X</v>
      </c>
      <c r="N67" s="177">
        <f t="shared" si="62"/>
        <v>0</v>
      </c>
      <c r="O67" s="178" t="str">
        <f t="shared" si="9"/>
        <v>X</v>
      </c>
      <c r="P67" s="176">
        <f t="shared" si="63"/>
        <v>28.889999999999997</v>
      </c>
      <c r="Q67" s="178" t="s">
        <v>0</v>
      </c>
      <c r="R67" s="176"/>
      <c r="S67" s="178" t="s">
        <v>2623</v>
      </c>
      <c r="T67" s="178" t="str">
        <f t="shared" si="45"/>
        <v xml:space="preserve"> </v>
      </c>
      <c r="U67" s="176">
        <f t="shared" si="57"/>
        <v>0</v>
      </c>
      <c r="V67" s="178" t="str">
        <f t="shared" si="46"/>
        <v xml:space="preserve"> </v>
      </c>
      <c r="W67" s="176">
        <f t="shared" si="58"/>
        <v>0</v>
      </c>
      <c r="X67" s="178" t="str">
        <f t="shared" si="47"/>
        <v xml:space="preserve"> </v>
      </c>
      <c r="Y67" s="176">
        <f t="shared" si="59"/>
        <v>0</v>
      </c>
      <c r="Z67" s="178" t="s">
        <v>2581</v>
      </c>
      <c r="AA67" s="178" t="str">
        <f t="shared" si="48"/>
        <v>X</v>
      </c>
      <c r="AB67" s="176">
        <f t="shared" si="49"/>
        <v>7</v>
      </c>
      <c r="AC67" s="178" t="str">
        <f t="shared" si="50"/>
        <v xml:space="preserve"> </v>
      </c>
      <c r="AD67" s="176">
        <f t="shared" si="51"/>
        <v>0</v>
      </c>
      <c r="AE67" s="178" t="str">
        <f t="shared" si="52"/>
        <v xml:space="preserve"> </v>
      </c>
      <c r="AF67" s="176">
        <f t="shared" si="53"/>
        <v>0</v>
      </c>
      <c r="AG67" s="178" t="str">
        <f t="shared" si="54"/>
        <v/>
      </c>
      <c r="AH67" s="176">
        <f t="shared" si="55"/>
        <v>0</v>
      </c>
    </row>
    <row r="68" spans="2:34" ht="16.5" outlineLevel="1" x14ac:dyDescent="0.25">
      <c r="B68" s="175" t="s">
        <v>2632</v>
      </c>
      <c r="C68" s="176">
        <v>7.43</v>
      </c>
      <c r="D68" s="176">
        <v>11.1</v>
      </c>
      <c r="E68" s="194">
        <v>3</v>
      </c>
      <c r="F68" s="194">
        <v>3</v>
      </c>
      <c r="G68" s="194">
        <f t="shared" si="56"/>
        <v>0</v>
      </c>
      <c r="H68" s="176"/>
      <c r="I68" s="178" t="str">
        <f t="shared" si="4"/>
        <v>X</v>
      </c>
      <c r="J68" s="176">
        <f t="shared" si="60"/>
        <v>33.299999999999997</v>
      </c>
      <c r="K68" s="178" t="str">
        <f t="shared" si="6"/>
        <v>X</v>
      </c>
      <c r="L68" s="176">
        <f t="shared" si="61"/>
        <v>33.299999999999997</v>
      </c>
      <c r="M68" s="178" t="str">
        <f t="shared" si="7"/>
        <v>X</v>
      </c>
      <c r="N68" s="177">
        <f t="shared" si="62"/>
        <v>0</v>
      </c>
      <c r="O68" s="178" t="str">
        <f t="shared" si="9"/>
        <v>X</v>
      </c>
      <c r="P68" s="176">
        <f t="shared" si="63"/>
        <v>33.299999999999997</v>
      </c>
      <c r="Q68" s="178" t="s">
        <v>0</v>
      </c>
      <c r="R68" s="176"/>
      <c r="S68" s="178" t="s">
        <v>2623</v>
      </c>
      <c r="T68" s="178" t="str">
        <f t="shared" si="45"/>
        <v xml:space="preserve"> </v>
      </c>
      <c r="U68" s="176">
        <f t="shared" si="57"/>
        <v>0</v>
      </c>
      <c r="V68" s="178" t="str">
        <f t="shared" si="46"/>
        <v xml:space="preserve"> </v>
      </c>
      <c r="W68" s="176">
        <f t="shared" si="58"/>
        <v>0</v>
      </c>
      <c r="X68" s="178" t="str">
        <f t="shared" si="47"/>
        <v xml:space="preserve"> </v>
      </c>
      <c r="Y68" s="176">
        <f t="shared" si="59"/>
        <v>0</v>
      </c>
      <c r="Z68" s="178" t="s">
        <v>2581</v>
      </c>
      <c r="AA68" s="178" t="str">
        <f t="shared" si="48"/>
        <v>X</v>
      </c>
      <c r="AB68" s="176">
        <f t="shared" si="49"/>
        <v>7.43</v>
      </c>
      <c r="AC68" s="178" t="str">
        <f t="shared" si="50"/>
        <v xml:space="preserve"> </v>
      </c>
      <c r="AD68" s="176">
        <f t="shared" si="51"/>
        <v>0</v>
      </c>
      <c r="AE68" s="178" t="str">
        <f t="shared" si="52"/>
        <v xml:space="preserve"> </v>
      </c>
      <c r="AF68" s="176">
        <f t="shared" si="53"/>
        <v>0</v>
      </c>
      <c r="AG68" s="178" t="str">
        <f t="shared" si="54"/>
        <v/>
      </c>
      <c r="AH68" s="176">
        <f t="shared" si="55"/>
        <v>0</v>
      </c>
    </row>
    <row r="69" spans="2:34" ht="16.5" outlineLevel="1" x14ac:dyDescent="0.25">
      <c r="B69" s="175" t="s">
        <v>2633</v>
      </c>
      <c r="C69" s="176">
        <v>7.02</v>
      </c>
      <c r="D69" s="176">
        <v>10.74</v>
      </c>
      <c r="E69" s="194">
        <v>3</v>
      </c>
      <c r="F69" s="194">
        <v>0</v>
      </c>
      <c r="G69" s="194">
        <f t="shared" si="56"/>
        <v>3</v>
      </c>
      <c r="H69" s="176"/>
      <c r="I69" s="178" t="str">
        <f t="shared" si="4"/>
        <v>X</v>
      </c>
      <c r="J69" s="176">
        <f t="shared" si="60"/>
        <v>32.22</v>
      </c>
      <c r="K69" s="178" t="str">
        <f t="shared" si="6"/>
        <v xml:space="preserve"> </v>
      </c>
      <c r="L69" s="176">
        <f t="shared" si="61"/>
        <v>0</v>
      </c>
      <c r="M69" s="178" t="str">
        <f t="shared" si="7"/>
        <v>X</v>
      </c>
      <c r="N69" s="177">
        <f t="shared" si="62"/>
        <v>32.22</v>
      </c>
      <c r="O69" s="178" t="str">
        <f t="shared" si="9"/>
        <v xml:space="preserve"> </v>
      </c>
      <c r="P69" s="176">
        <f t="shared" si="63"/>
        <v>0</v>
      </c>
      <c r="Q69" s="178" t="s">
        <v>0</v>
      </c>
      <c r="R69" s="176"/>
      <c r="S69" s="178" t="s">
        <v>2578</v>
      </c>
      <c r="T69" s="178" t="str">
        <f t="shared" si="45"/>
        <v>X</v>
      </c>
      <c r="U69" s="176">
        <f t="shared" si="57"/>
        <v>32.22</v>
      </c>
      <c r="V69" s="178" t="str">
        <f t="shared" si="46"/>
        <v xml:space="preserve"> </v>
      </c>
      <c r="W69" s="176">
        <f t="shared" si="58"/>
        <v>0</v>
      </c>
      <c r="X69" s="178" t="str">
        <f t="shared" si="47"/>
        <v xml:space="preserve"> </v>
      </c>
      <c r="Y69" s="176">
        <f t="shared" si="59"/>
        <v>0</v>
      </c>
      <c r="Z69" s="178" t="s">
        <v>2581</v>
      </c>
      <c r="AA69" s="178" t="str">
        <f t="shared" si="48"/>
        <v>X</v>
      </c>
      <c r="AB69" s="176">
        <f t="shared" si="49"/>
        <v>7.02</v>
      </c>
      <c r="AC69" s="178" t="str">
        <f t="shared" si="50"/>
        <v xml:space="preserve"> </v>
      </c>
      <c r="AD69" s="176">
        <f t="shared" si="51"/>
        <v>0</v>
      </c>
      <c r="AE69" s="178" t="str">
        <f t="shared" si="52"/>
        <v xml:space="preserve"> </v>
      </c>
      <c r="AF69" s="176">
        <f t="shared" si="53"/>
        <v>0</v>
      </c>
      <c r="AG69" s="178" t="str">
        <f t="shared" si="54"/>
        <v>X</v>
      </c>
      <c r="AH69" s="176">
        <f t="shared" si="55"/>
        <v>10.74</v>
      </c>
    </row>
    <row r="70" spans="2:34" ht="16.5" outlineLevel="1" x14ac:dyDescent="0.25">
      <c r="B70" s="175" t="s">
        <v>2634</v>
      </c>
      <c r="C70" s="176">
        <v>10.8</v>
      </c>
      <c r="D70" s="176">
        <v>14.16</v>
      </c>
      <c r="E70" s="194">
        <v>3</v>
      </c>
      <c r="F70" s="194">
        <v>0</v>
      </c>
      <c r="G70" s="194">
        <f t="shared" si="56"/>
        <v>3</v>
      </c>
      <c r="H70" s="176"/>
      <c r="I70" s="178" t="str">
        <f t="shared" si="4"/>
        <v>X</v>
      </c>
      <c r="J70" s="176">
        <f t="shared" si="60"/>
        <v>42.480000000000004</v>
      </c>
      <c r="K70" s="178" t="str">
        <f t="shared" si="6"/>
        <v xml:space="preserve"> </v>
      </c>
      <c r="L70" s="176">
        <f t="shared" si="61"/>
        <v>0</v>
      </c>
      <c r="M70" s="178" t="str">
        <f t="shared" si="7"/>
        <v>X</v>
      </c>
      <c r="N70" s="177">
        <f t="shared" si="62"/>
        <v>42.480000000000004</v>
      </c>
      <c r="O70" s="178" t="str">
        <f t="shared" si="9"/>
        <v xml:space="preserve"> </v>
      </c>
      <c r="P70" s="176">
        <f t="shared" si="63"/>
        <v>0</v>
      </c>
      <c r="Q70" s="178" t="s">
        <v>0</v>
      </c>
      <c r="R70" s="176"/>
      <c r="S70" s="178" t="s">
        <v>2578</v>
      </c>
      <c r="T70" s="178" t="str">
        <f t="shared" si="45"/>
        <v>X</v>
      </c>
      <c r="U70" s="176">
        <f t="shared" si="57"/>
        <v>42.480000000000004</v>
      </c>
      <c r="V70" s="178" t="str">
        <f t="shared" si="46"/>
        <v xml:space="preserve"> </v>
      </c>
      <c r="W70" s="176">
        <f t="shared" si="58"/>
        <v>0</v>
      </c>
      <c r="X70" s="178" t="str">
        <f t="shared" si="47"/>
        <v xml:space="preserve"> </v>
      </c>
      <c r="Y70" s="176">
        <f t="shared" si="59"/>
        <v>0</v>
      </c>
      <c r="Z70" s="178" t="s">
        <v>2581</v>
      </c>
      <c r="AA70" s="178" t="str">
        <f t="shared" si="48"/>
        <v>X</v>
      </c>
      <c r="AB70" s="176">
        <f t="shared" si="49"/>
        <v>10.8</v>
      </c>
      <c r="AC70" s="178" t="str">
        <f t="shared" si="50"/>
        <v xml:space="preserve"> </v>
      </c>
      <c r="AD70" s="176">
        <f t="shared" si="51"/>
        <v>0</v>
      </c>
      <c r="AE70" s="178" t="str">
        <f t="shared" si="52"/>
        <v xml:space="preserve"> </v>
      </c>
      <c r="AF70" s="176">
        <f t="shared" si="53"/>
        <v>0</v>
      </c>
      <c r="AG70" s="178" t="str">
        <f t="shared" si="54"/>
        <v>X</v>
      </c>
      <c r="AH70" s="176">
        <f t="shared" si="55"/>
        <v>14.16</v>
      </c>
    </row>
    <row r="71" spans="2:34" ht="16.5" outlineLevel="1" x14ac:dyDescent="0.25">
      <c r="B71" s="175" t="s">
        <v>2635</v>
      </c>
      <c r="C71" s="176">
        <v>6.42</v>
      </c>
      <c r="D71" s="176">
        <v>10.23</v>
      </c>
      <c r="E71" s="194">
        <v>3</v>
      </c>
      <c r="F71" s="194">
        <v>3</v>
      </c>
      <c r="G71" s="194">
        <f t="shared" si="56"/>
        <v>0</v>
      </c>
      <c r="H71" s="176"/>
      <c r="I71" s="178" t="str">
        <f t="shared" si="4"/>
        <v>X</v>
      </c>
      <c r="J71" s="176">
        <f t="shared" si="60"/>
        <v>30.69</v>
      </c>
      <c r="K71" s="178" t="str">
        <f t="shared" si="6"/>
        <v>X</v>
      </c>
      <c r="L71" s="176">
        <f t="shared" si="61"/>
        <v>30.69</v>
      </c>
      <c r="M71" s="178" t="str">
        <f t="shared" si="7"/>
        <v>X</v>
      </c>
      <c r="N71" s="177">
        <f t="shared" si="62"/>
        <v>0</v>
      </c>
      <c r="O71" s="178" t="str">
        <f t="shared" si="9"/>
        <v>X</v>
      </c>
      <c r="P71" s="176">
        <f t="shared" si="63"/>
        <v>30.69</v>
      </c>
      <c r="Q71" s="178" t="s">
        <v>0</v>
      </c>
      <c r="R71" s="176"/>
      <c r="S71" s="178" t="s">
        <v>2623</v>
      </c>
      <c r="T71" s="178" t="str">
        <f t="shared" si="45"/>
        <v xml:space="preserve"> </v>
      </c>
      <c r="U71" s="176">
        <f t="shared" si="57"/>
        <v>0</v>
      </c>
      <c r="V71" s="178" t="str">
        <f t="shared" si="46"/>
        <v xml:space="preserve"> </v>
      </c>
      <c r="W71" s="176">
        <f t="shared" si="58"/>
        <v>0</v>
      </c>
      <c r="X71" s="178" t="str">
        <f t="shared" si="47"/>
        <v xml:space="preserve"> </v>
      </c>
      <c r="Y71" s="176">
        <f t="shared" si="59"/>
        <v>0</v>
      </c>
      <c r="Z71" s="178" t="s">
        <v>2581</v>
      </c>
      <c r="AA71" s="178" t="str">
        <f t="shared" si="48"/>
        <v>X</v>
      </c>
      <c r="AB71" s="176">
        <f t="shared" si="49"/>
        <v>6.42</v>
      </c>
      <c r="AC71" s="178" t="str">
        <f t="shared" si="50"/>
        <v xml:space="preserve"> </v>
      </c>
      <c r="AD71" s="176">
        <f t="shared" si="51"/>
        <v>0</v>
      </c>
      <c r="AE71" s="178" t="str">
        <f t="shared" si="52"/>
        <v xml:space="preserve"> </v>
      </c>
      <c r="AF71" s="176">
        <f t="shared" si="53"/>
        <v>0</v>
      </c>
      <c r="AG71" s="178" t="str">
        <f t="shared" si="54"/>
        <v/>
      </c>
      <c r="AH71" s="176">
        <f t="shared" si="55"/>
        <v>0</v>
      </c>
    </row>
    <row r="72" spans="2:34" ht="16.5" outlineLevel="1" x14ac:dyDescent="0.25">
      <c r="B72" s="175" t="s">
        <v>2636</v>
      </c>
      <c r="C72" s="176">
        <v>6.45</v>
      </c>
      <c r="D72" s="176">
        <v>10.23</v>
      </c>
      <c r="E72" s="194">
        <v>3</v>
      </c>
      <c r="F72" s="194">
        <v>3</v>
      </c>
      <c r="G72" s="194">
        <f t="shared" si="56"/>
        <v>0</v>
      </c>
      <c r="H72" s="176">
        <f>1.5*2</f>
        <v>3</v>
      </c>
      <c r="I72" s="178" t="str">
        <f t="shared" si="4"/>
        <v>X</v>
      </c>
      <c r="J72" s="176">
        <f t="shared" si="60"/>
        <v>21.69</v>
      </c>
      <c r="K72" s="178" t="str">
        <f t="shared" si="6"/>
        <v>X</v>
      </c>
      <c r="L72" s="176">
        <f t="shared" si="61"/>
        <v>21.69</v>
      </c>
      <c r="M72" s="178" t="str">
        <f t="shared" si="7"/>
        <v>X</v>
      </c>
      <c r="N72" s="177">
        <f t="shared" si="62"/>
        <v>0</v>
      </c>
      <c r="O72" s="178" t="str">
        <f t="shared" si="9"/>
        <v>X</v>
      </c>
      <c r="P72" s="176">
        <f t="shared" si="63"/>
        <v>21.69</v>
      </c>
      <c r="Q72" s="178" t="s">
        <v>0</v>
      </c>
      <c r="R72" s="176"/>
      <c r="S72" s="178" t="s">
        <v>2623</v>
      </c>
      <c r="T72" s="178" t="str">
        <f t="shared" si="45"/>
        <v xml:space="preserve"> </v>
      </c>
      <c r="U72" s="176">
        <f t="shared" si="57"/>
        <v>0</v>
      </c>
      <c r="V72" s="178" t="str">
        <f t="shared" si="46"/>
        <v xml:space="preserve"> </v>
      </c>
      <c r="W72" s="176">
        <f t="shared" si="58"/>
        <v>0</v>
      </c>
      <c r="X72" s="178" t="str">
        <f t="shared" si="47"/>
        <v xml:space="preserve"> </v>
      </c>
      <c r="Y72" s="176">
        <f t="shared" si="59"/>
        <v>0</v>
      </c>
      <c r="Z72" s="178" t="s">
        <v>2581</v>
      </c>
      <c r="AA72" s="178" t="str">
        <f t="shared" si="48"/>
        <v>X</v>
      </c>
      <c r="AB72" s="176">
        <f t="shared" si="49"/>
        <v>6.45</v>
      </c>
      <c r="AC72" s="178" t="str">
        <f t="shared" si="50"/>
        <v xml:space="preserve"> </v>
      </c>
      <c r="AD72" s="176">
        <f t="shared" si="51"/>
        <v>0</v>
      </c>
      <c r="AE72" s="178" t="str">
        <f t="shared" si="52"/>
        <v xml:space="preserve"> </v>
      </c>
      <c r="AF72" s="176">
        <f t="shared" si="53"/>
        <v>0</v>
      </c>
      <c r="AG72" s="178" t="str">
        <f t="shared" si="54"/>
        <v/>
      </c>
      <c r="AH72" s="176">
        <f t="shared" si="55"/>
        <v>0</v>
      </c>
    </row>
    <row r="73" spans="2:34" ht="16.5" outlineLevel="1" x14ac:dyDescent="0.25">
      <c r="B73" s="175" t="s">
        <v>2637</v>
      </c>
      <c r="C73" s="176">
        <v>10.78</v>
      </c>
      <c r="D73" s="176">
        <v>14.15</v>
      </c>
      <c r="E73" s="194">
        <v>3</v>
      </c>
      <c r="F73" s="194">
        <v>3</v>
      </c>
      <c r="G73" s="194">
        <f t="shared" si="56"/>
        <v>0</v>
      </c>
      <c r="H73" s="176"/>
      <c r="I73" s="178" t="str">
        <f t="shared" si="4"/>
        <v>X</v>
      </c>
      <c r="J73" s="176">
        <f t="shared" si="60"/>
        <v>42.45</v>
      </c>
      <c r="K73" s="178" t="str">
        <f t="shared" si="6"/>
        <v>X</v>
      </c>
      <c r="L73" s="176">
        <f t="shared" si="61"/>
        <v>42.45</v>
      </c>
      <c r="M73" s="178" t="str">
        <f t="shared" si="7"/>
        <v>X</v>
      </c>
      <c r="N73" s="177">
        <f t="shared" si="62"/>
        <v>0</v>
      </c>
      <c r="O73" s="178" t="str">
        <f t="shared" si="9"/>
        <v>X</v>
      </c>
      <c r="P73" s="176">
        <f t="shared" si="63"/>
        <v>42.45</v>
      </c>
      <c r="Q73" s="178" t="s">
        <v>0</v>
      </c>
      <c r="R73" s="176"/>
      <c r="S73" s="178" t="s">
        <v>2623</v>
      </c>
      <c r="T73" s="178" t="str">
        <f t="shared" si="45"/>
        <v xml:space="preserve"> </v>
      </c>
      <c r="U73" s="176">
        <f t="shared" si="57"/>
        <v>0</v>
      </c>
      <c r="V73" s="178" t="str">
        <f t="shared" si="46"/>
        <v xml:space="preserve"> </v>
      </c>
      <c r="W73" s="176">
        <f t="shared" si="58"/>
        <v>0</v>
      </c>
      <c r="X73" s="178" t="str">
        <f t="shared" si="47"/>
        <v xml:space="preserve"> </v>
      </c>
      <c r="Y73" s="176">
        <f t="shared" si="59"/>
        <v>0</v>
      </c>
      <c r="Z73" s="178" t="s">
        <v>2581</v>
      </c>
      <c r="AA73" s="178" t="str">
        <f t="shared" si="48"/>
        <v>X</v>
      </c>
      <c r="AB73" s="176">
        <f t="shared" si="49"/>
        <v>10.78</v>
      </c>
      <c r="AC73" s="178" t="str">
        <f t="shared" si="50"/>
        <v xml:space="preserve"> </v>
      </c>
      <c r="AD73" s="176">
        <f t="shared" si="51"/>
        <v>0</v>
      </c>
      <c r="AE73" s="178" t="str">
        <f t="shared" si="52"/>
        <v xml:space="preserve"> </v>
      </c>
      <c r="AF73" s="176">
        <f t="shared" si="53"/>
        <v>0</v>
      </c>
      <c r="AG73" s="178" t="str">
        <f t="shared" si="54"/>
        <v/>
      </c>
      <c r="AH73" s="176">
        <f t="shared" si="55"/>
        <v>0</v>
      </c>
    </row>
    <row r="74" spans="2:34" ht="16.5" outlineLevel="1" x14ac:dyDescent="0.25">
      <c r="B74" s="175" t="s">
        <v>2594</v>
      </c>
      <c r="C74" s="176">
        <v>8.39</v>
      </c>
      <c r="D74" s="176">
        <v>12.93</v>
      </c>
      <c r="E74" s="194">
        <v>3</v>
      </c>
      <c r="F74" s="194">
        <v>3</v>
      </c>
      <c r="G74" s="194">
        <f t="shared" si="56"/>
        <v>0</v>
      </c>
      <c r="H74" s="176">
        <v>1.5</v>
      </c>
      <c r="I74" s="178" t="str">
        <f t="shared" si="4"/>
        <v>X</v>
      </c>
      <c r="J74" s="176">
        <f t="shared" si="60"/>
        <v>34.29</v>
      </c>
      <c r="K74" s="178" t="str">
        <f t="shared" si="6"/>
        <v>X</v>
      </c>
      <c r="L74" s="176">
        <f t="shared" si="61"/>
        <v>34.29</v>
      </c>
      <c r="M74" s="178" t="str">
        <f t="shared" si="7"/>
        <v>X</v>
      </c>
      <c r="N74" s="177">
        <f t="shared" si="62"/>
        <v>0</v>
      </c>
      <c r="O74" s="178" t="str">
        <f t="shared" si="9"/>
        <v>X</v>
      </c>
      <c r="P74" s="176">
        <f t="shared" si="63"/>
        <v>34.29</v>
      </c>
      <c r="Q74" s="178" t="s">
        <v>0</v>
      </c>
      <c r="R74" s="176"/>
      <c r="S74" s="178" t="s">
        <v>2623</v>
      </c>
      <c r="T74" s="178" t="str">
        <f t="shared" si="45"/>
        <v xml:space="preserve"> </v>
      </c>
      <c r="U74" s="176">
        <f t="shared" si="57"/>
        <v>0</v>
      </c>
      <c r="V74" s="178" t="str">
        <f t="shared" si="46"/>
        <v xml:space="preserve"> </v>
      </c>
      <c r="W74" s="176">
        <f t="shared" si="58"/>
        <v>0</v>
      </c>
      <c r="X74" s="178" t="str">
        <f t="shared" si="47"/>
        <v xml:space="preserve"> </v>
      </c>
      <c r="Y74" s="176">
        <f t="shared" si="59"/>
        <v>0</v>
      </c>
      <c r="Z74" s="178" t="s">
        <v>2582</v>
      </c>
      <c r="AA74" s="178" t="str">
        <f t="shared" si="48"/>
        <v xml:space="preserve"> </v>
      </c>
      <c r="AB74" s="176">
        <f t="shared" si="49"/>
        <v>0</v>
      </c>
      <c r="AC74" s="178" t="str">
        <f t="shared" si="50"/>
        <v>X</v>
      </c>
      <c r="AD74" s="176">
        <f t="shared" si="51"/>
        <v>8.39</v>
      </c>
      <c r="AE74" s="178" t="str">
        <f t="shared" si="52"/>
        <v xml:space="preserve"> </v>
      </c>
      <c r="AF74" s="176">
        <f t="shared" si="53"/>
        <v>0</v>
      </c>
      <c r="AG74" s="178" t="str">
        <f t="shared" si="54"/>
        <v/>
      </c>
      <c r="AH74" s="176">
        <f t="shared" si="55"/>
        <v>0</v>
      </c>
    </row>
    <row r="75" spans="2:34" ht="16.5" outlineLevel="1" x14ac:dyDescent="0.25">
      <c r="B75" s="175" t="s">
        <v>2638</v>
      </c>
      <c r="C75" s="176">
        <v>52.43</v>
      </c>
      <c r="D75" s="176">
        <v>32.94</v>
      </c>
      <c r="E75" s="194">
        <v>3</v>
      </c>
      <c r="F75" s="194">
        <v>3</v>
      </c>
      <c r="G75" s="194">
        <f t="shared" si="56"/>
        <v>0</v>
      </c>
      <c r="H75" s="176">
        <v>3.27</v>
      </c>
      <c r="I75" s="178" t="str">
        <f t="shared" si="4"/>
        <v>X</v>
      </c>
      <c r="J75" s="176">
        <f t="shared" si="60"/>
        <v>89.009999999999991</v>
      </c>
      <c r="K75" s="178" t="str">
        <f t="shared" si="6"/>
        <v>X</v>
      </c>
      <c r="L75" s="176">
        <f t="shared" si="61"/>
        <v>89.009999999999991</v>
      </c>
      <c r="M75" s="178" t="str">
        <f t="shared" si="7"/>
        <v>X</v>
      </c>
      <c r="N75" s="177">
        <f t="shared" si="62"/>
        <v>0</v>
      </c>
      <c r="O75" s="178" t="str">
        <f t="shared" si="9"/>
        <v>X</v>
      </c>
      <c r="P75" s="176">
        <f t="shared" si="63"/>
        <v>89.009999999999991</v>
      </c>
      <c r="Q75" s="178" t="s">
        <v>0</v>
      </c>
      <c r="R75" s="176"/>
      <c r="S75" s="178" t="s">
        <v>2623</v>
      </c>
      <c r="T75" s="178" t="str">
        <f t="shared" si="45"/>
        <v xml:space="preserve"> </v>
      </c>
      <c r="U75" s="176">
        <f t="shared" si="57"/>
        <v>0</v>
      </c>
      <c r="V75" s="178" t="str">
        <f t="shared" si="46"/>
        <v xml:space="preserve"> </v>
      </c>
      <c r="W75" s="176">
        <f t="shared" si="58"/>
        <v>0</v>
      </c>
      <c r="X75" s="178" t="str">
        <f t="shared" si="47"/>
        <v xml:space="preserve"> </v>
      </c>
      <c r="Y75" s="176">
        <f t="shared" si="59"/>
        <v>0</v>
      </c>
      <c r="Z75" s="178" t="s">
        <v>2581</v>
      </c>
      <c r="AA75" s="178" t="str">
        <f t="shared" si="48"/>
        <v>X</v>
      </c>
      <c r="AB75" s="176">
        <f t="shared" si="49"/>
        <v>52.43</v>
      </c>
      <c r="AC75" s="178" t="str">
        <f t="shared" si="50"/>
        <v xml:space="preserve"> </v>
      </c>
      <c r="AD75" s="176">
        <f t="shared" si="51"/>
        <v>0</v>
      </c>
      <c r="AE75" s="178" t="str">
        <f t="shared" si="52"/>
        <v xml:space="preserve"> </v>
      </c>
      <c r="AF75" s="176">
        <f t="shared" si="53"/>
        <v>0</v>
      </c>
      <c r="AG75" s="178" t="str">
        <f t="shared" si="54"/>
        <v/>
      </c>
      <c r="AH75" s="176">
        <f t="shared" si="55"/>
        <v>0</v>
      </c>
    </row>
    <row r="76" spans="2:34" ht="16.5" outlineLevel="1" x14ac:dyDescent="0.25">
      <c r="B76" s="175" t="s">
        <v>2591</v>
      </c>
      <c r="C76" s="176">
        <v>1.73</v>
      </c>
      <c r="D76" s="176">
        <v>5.4</v>
      </c>
      <c r="E76" s="194">
        <v>3</v>
      </c>
      <c r="F76" s="194">
        <v>2.1</v>
      </c>
      <c r="G76" s="194">
        <f t="shared" si="56"/>
        <v>0.89999999999999991</v>
      </c>
      <c r="H76" s="176"/>
      <c r="I76" s="178" t="str">
        <f t="shared" si="4"/>
        <v>X</v>
      </c>
      <c r="J76" s="176">
        <f t="shared" si="60"/>
        <v>16.200000000000003</v>
      </c>
      <c r="K76" s="178" t="str">
        <f t="shared" si="6"/>
        <v>X</v>
      </c>
      <c r="L76" s="176">
        <f t="shared" si="61"/>
        <v>11.340000000000002</v>
      </c>
      <c r="M76" s="178" t="str">
        <f t="shared" si="7"/>
        <v>X</v>
      </c>
      <c r="N76" s="177">
        <f t="shared" si="62"/>
        <v>4.8600000000000012</v>
      </c>
      <c r="O76" s="178" t="str">
        <f t="shared" si="9"/>
        <v>X</v>
      </c>
      <c r="P76" s="176">
        <f t="shared" si="63"/>
        <v>11.340000000000002</v>
      </c>
      <c r="Q76" s="178" t="s">
        <v>0</v>
      </c>
      <c r="R76" s="176"/>
      <c r="S76" s="178" t="s">
        <v>2578</v>
      </c>
      <c r="T76" s="178" t="str">
        <f t="shared" si="45"/>
        <v>X</v>
      </c>
      <c r="U76" s="176">
        <f t="shared" si="57"/>
        <v>4.8600000000000012</v>
      </c>
      <c r="V76" s="178" t="str">
        <f t="shared" si="46"/>
        <v xml:space="preserve"> </v>
      </c>
      <c r="W76" s="176">
        <f t="shared" si="58"/>
        <v>0</v>
      </c>
      <c r="X76" s="178" t="str">
        <f t="shared" si="47"/>
        <v xml:space="preserve"> </v>
      </c>
      <c r="Y76" s="176">
        <f t="shared" si="59"/>
        <v>0</v>
      </c>
      <c r="Z76" s="178" t="s">
        <v>2581</v>
      </c>
      <c r="AA76" s="178" t="str">
        <f t="shared" si="48"/>
        <v>X</v>
      </c>
      <c r="AB76" s="176">
        <f t="shared" si="49"/>
        <v>1.73</v>
      </c>
      <c r="AC76" s="178" t="str">
        <f t="shared" si="50"/>
        <v xml:space="preserve"> </v>
      </c>
      <c r="AD76" s="176">
        <f t="shared" si="51"/>
        <v>0</v>
      </c>
      <c r="AE76" s="178" t="str">
        <f t="shared" si="52"/>
        <v xml:space="preserve"> </v>
      </c>
      <c r="AF76" s="176">
        <f t="shared" si="53"/>
        <v>0</v>
      </c>
      <c r="AG76" s="178" t="str">
        <f t="shared" si="54"/>
        <v/>
      </c>
      <c r="AH76" s="176">
        <f t="shared" si="55"/>
        <v>0</v>
      </c>
    </row>
    <row r="77" spans="2:34" ht="16.5" outlineLevel="1" x14ac:dyDescent="0.25">
      <c r="B77" s="175" t="s">
        <v>2639</v>
      </c>
      <c r="C77" s="176">
        <v>58.49</v>
      </c>
      <c r="D77" s="176">
        <v>52.53</v>
      </c>
      <c r="E77" s="194">
        <v>3</v>
      </c>
      <c r="F77" s="194">
        <v>3</v>
      </c>
      <c r="G77" s="194">
        <f t="shared" si="56"/>
        <v>0</v>
      </c>
      <c r="H77" s="176">
        <f>2.85+1.9</f>
        <v>4.75</v>
      </c>
      <c r="I77" s="178" t="str">
        <f t="shared" si="4"/>
        <v>X</v>
      </c>
      <c r="J77" s="176">
        <f t="shared" si="60"/>
        <v>143.34</v>
      </c>
      <c r="K77" s="178" t="str">
        <f t="shared" si="6"/>
        <v>X</v>
      </c>
      <c r="L77" s="176">
        <f t="shared" si="61"/>
        <v>143.34</v>
      </c>
      <c r="M77" s="178" t="str">
        <f t="shared" si="7"/>
        <v>X</v>
      </c>
      <c r="N77" s="177">
        <f t="shared" si="62"/>
        <v>0</v>
      </c>
      <c r="O77" s="178" t="str">
        <f t="shared" si="9"/>
        <v>X</v>
      </c>
      <c r="P77" s="176">
        <f t="shared" si="63"/>
        <v>143.34</v>
      </c>
      <c r="Q77" s="178" t="s">
        <v>0</v>
      </c>
      <c r="R77" s="176"/>
      <c r="S77" s="178" t="s">
        <v>2623</v>
      </c>
      <c r="T77" s="178" t="str">
        <f t="shared" si="45"/>
        <v xml:space="preserve"> </v>
      </c>
      <c r="U77" s="176">
        <f t="shared" si="57"/>
        <v>0</v>
      </c>
      <c r="V77" s="178" t="str">
        <f t="shared" si="46"/>
        <v xml:space="preserve"> </v>
      </c>
      <c r="W77" s="176">
        <f t="shared" si="58"/>
        <v>0</v>
      </c>
      <c r="X77" s="178" t="str">
        <f t="shared" si="47"/>
        <v xml:space="preserve"> </v>
      </c>
      <c r="Y77" s="176">
        <f t="shared" si="59"/>
        <v>0</v>
      </c>
      <c r="Z77" s="178" t="s">
        <v>2582</v>
      </c>
      <c r="AA77" s="178" t="str">
        <f t="shared" si="48"/>
        <v xml:space="preserve"> </v>
      </c>
      <c r="AB77" s="176">
        <f t="shared" si="49"/>
        <v>0</v>
      </c>
      <c r="AC77" s="178" t="str">
        <f t="shared" si="50"/>
        <v>X</v>
      </c>
      <c r="AD77" s="176">
        <f t="shared" si="51"/>
        <v>58.49</v>
      </c>
      <c r="AE77" s="178" t="str">
        <f t="shared" si="52"/>
        <v xml:space="preserve"> </v>
      </c>
      <c r="AF77" s="176">
        <f t="shared" si="53"/>
        <v>0</v>
      </c>
      <c r="AG77" s="178" t="str">
        <f t="shared" si="54"/>
        <v/>
      </c>
      <c r="AH77" s="176">
        <f t="shared" si="55"/>
        <v>0</v>
      </c>
    </row>
    <row r="78" spans="2:34" ht="16.5" outlineLevel="1" x14ac:dyDescent="0.25">
      <c r="B78" s="175" t="s">
        <v>2640</v>
      </c>
      <c r="C78" s="176">
        <v>75.41</v>
      </c>
      <c r="D78" s="176">
        <v>58.55</v>
      </c>
      <c r="E78" s="194">
        <v>3</v>
      </c>
      <c r="F78" s="194">
        <v>3</v>
      </c>
      <c r="G78" s="194">
        <f t="shared" si="56"/>
        <v>0</v>
      </c>
      <c r="H78" s="176"/>
      <c r="I78" s="178" t="str">
        <f t="shared" si="4"/>
        <v>X</v>
      </c>
      <c r="J78" s="176">
        <f t="shared" si="60"/>
        <v>175.64999999999998</v>
      </c>
      <c r="K78" s="178" t="str">
        <f t="shared" si="6"/>
        <v>X</v>
      </c>
      <c r="L78" s="176">
        <f t="shared" si="61"/>
        <v>175.64999999999998</v>
      </c>
      <c r="M78" s="178" t="str">
        <f t="shared" si="7"/>
        <v>X</v>
      </c>
      <c r="N78" s="177">
        <f t="shared" si="62"/>
        <v>0</v>
      </c>
      <c r="O78" s="178" t="str">
        <f t="shared" si="9"/>
        <v>X</v>
      </c>
      <c r="P78" s="176">
        <f t="shared" si="63"/>
        <v>175.64999999999998</v>
      </c>
      <c r="Q78" s="178" t="s">
        <v>0</v>
      </c>
      <c r="R78" s="176"/>
      <c r="S78" s="178" t="s">
        <v>2623</v>
      </c>
      <c r="T78" s="178" t="str">
        <f t="shared" si="45"/>
        <v xml:space="preserve"> </v>
      </c>
      <c r="U78" s="176">
        <f t="shared" si="57"/>
        <v>0</v>
      </c>
      <c r="V78" s="178" t="str">
        <f t="shared" si="46"/>
        <v xml:space="preserve"> </v>
      </c>
      <c r="W78" s="176">
        <f t="shared" si="58"/>
        <v>0</v>
      </c>
      <c r="X78" s="178" t="str">
        <f t="shared" si="47"/>
        <v xml:space="preserve"> </v>
      </c>
      <c r="Y78" s="176">
        <f t="shared" si="59"/>
        <v>0</v>
      </c>
      <c r="Z78" s="178" t="s">
        <v>2582</v>
      </c>
      <c r="AA78" s="178" t="str">
        <f t="shared" si="48"/>
        <v xml:space="preserve"> </v>
      </c>
      <c r="AB78" s="176">
        <f t="shared" si="49"/>
        <v>0</v>
      </c>
      <c r="AC78" s="178" t="str">
        <f t="shared" si="50"/>
        <v>X</v>
      </c>
      <c r="AD78" s="176">
        <f t="shared" si="51"/>
        <v>75.41</v>
      </c>
      <c r="AE78" s="178" t="str">
        <f t="shared" si="52"/>
        <v xml:space="preserve"> </v>
      </c>
      <c r="AF78" s="176">
        <f t="shared" si="53"/>
        <v>0</v>
      </c>
      <c r="AG78" s="178" t="str">
        <f t="shared" si="54"/>
        <v/>
      </c>
      <c r="AH78" s="176">
        <f>IF(AG78="X",$D78-H78,0)</f>
        <v>0</v>
      </c>
    </row>
    <row r="79" spans="2:34" ht="16.5" x14ac:dyDescent="0.25">
      <c r="B79" s="182"/>
      <c r="C79" s="185"/>
      <c r="D79" s="185"/>
      <c r="E79" s="185"/>
      <c r="F79" s="185"/>
      <c r="G79" s="185"/>
      <c r="H79" s="185"/>
      <c r="I79" s="184"/>
      <c r="J79" s="185"/>
      <c r="K79" s="184"/>
      <c r="L79" s="185"/>
      <c r="M79" s="184"/>
      <c r="N79" s="185"/>
      <c r="O79" s="201"/>
      <c r="P79" s="185"/>
      <c r="Q79" s="184"/>
      <c r="R79" s="189"/>
      <c r="S79" s="185"/>
      <c r="T79" s="184"/>
      <c r="U79" s="185"/>
      <c r="V79" s="184"/>
      <c r="W79" s="185"/>
      <c r="X79" s="184"/>
      <c r="Y79" s="189"/>
      <c r="Z79" s="185"/>
      <c r="AA79" s="184"/>
      <c r="AB79" s="185"/>
      <c r="AC79" s="184"/>
      <c r="AD79" s="185"/>
      <c r="AE79" s="184"/>
      <c r="AF79" s="189"/>
      <c r="AG79" s="184"/>
      <c r="AH79" s="189"/>
    </row>
    <row r="80" spans="2:34" ht="16.5" x14ac:dyDescent="0.25">
      <c r="B80" s="929" t="s">
        <v>2641</v>
      </c>
      <c r="C80" s="930"/>
      <c r="D80" s="930"/>
      <c r="E80" s="930"/>
      <c r="F80" s="930"/>
      <c r="G80" s="930"/>
      <c r="H80" s="931"/>
      <c r="I80" s="190" t="s">
        <v>2586</v>
      </c>
      <c r="J80" s="191">
        <f>SUBTOTAL(9,J81:J124)</f>
        <v>2115.5100000000002</v>
      </c>
      <c r="K80" s="192" t="s">
        <v>2586</v>
      </c>
      <c r="L80" s="191">
        <f>SUBTOTAL(9,L81:L124)</f>
        <v>361.57800000000003</v>
      </c>
      <c r="M80" s="190" t="s">
        <v>2586</v>
      </c>
      <c r="N80" s="200">
        <f>SUBTOTAL(9,N81:N124)</f>
        <v>1753.9319999999996</v>
      </c>
      <c r="O80" s="190" t="s">
        <v>2586</v>
      </c>
      <c r="P80" s="191">
        <f>SUBTOTAL(9,P81:P124)</f>
        <v>364.57800000000003</v>
      </c>
      <c r="Q80" s="190" t="s">
        <v>2586</v>
      </c>
      <c r="R80" s="191">
        <f>SUBTOTAL(9,R81:R124)</f>
        <v>11</v>
      </c>
      <c r="S80" s="191"/>
      <c r="T80" s="190" t="s">
        <v>2586</v>
      </c>
      <c r="U80" s="200">
        <f>SUBTOTAL(9,U81:U124)</f>
        <v>1700.6819999999996</v>
      </c>
      <c r="V80" s="190" t="s">
        <v>2586</v>
      </c>
      <c r="W80" s="191">
        <f>SUBTOTAL(9,W81:W124)</f>
        <v>0</v>
      </c>
      <c r="X80" s="190" t="s">
        <v>2586</v>
      </c>
      <c r="Y80" s="191">
        <f>SUBTOTAL(9,Y81:Y124)</f>
        <v>53.25</v>
      </c>
      <c r="Z80" s="191"/>
      <c r="AA80" s="190" t="s">
        <v>2586</v>
      </c>
      <c r="AB80" s="200">
        <f>SUBTOTAL(9,AB81:AB124)</f>
        <v>472.15000000000003</v>
      </c>
      <c r="AC80" s="190" t="s">
        <v>2586</v>
      </c>
      <c r="AD80" s="191">
        <f>SUBTOTAL(9,AD81:AD124)</f>
        <v>167.29000000000002</v>
      </c>
      <c r="AE80" s="190" t="s">
        <v>2586</v>
      </c>
      <c r="AF80" s="191">
        <f>SUBTOTAL(9,AF81:AF124)</f>
        <v>0</v>
      </c>
      <c r="AG80" s="190" t="s">
        <v>2586</v>
      </c>
      <c r="AH80" s="191">
        <f>SUBTOTAL(9,AH81:AH124)</f>
        <v>532.99</v>
      </c>
    </row>
    <row r="81" spans="2:34" ht="16.5" outlineLevel="1" x14ac:dyDescent="0.25">
      <c r="B81" s="175" t="s">
        <v>2642</v>
      </c>
      <c r="C81" s="176">
        <v>25.29</v>
      </c>
      <c r="D81" s="176">
        <v>21.07</v>
      </c>
      <c r="E81" s="194">
        <v>3</v>
      </c>
      <c r="F81" s="194">
        <v>0</v>
      </c>
      <c r="G81" s="194">
        <f>E81-F81</f>
        <v>3</v>
      </c>
      <c r="H81" s="176"/>
      <c r="I81" s="178" t="str">
        <f t="shared" ref="I81:I124" si="64">IF($E81&gt;0,"X"," ")</f>
        <v>X</v>
      </c>
      <c r="J81" s="176">
        <f t="shared" ref="J81:J106" si="65">IF(I81="X",($D81-H81)*E81,0)</f>
        <v>63.21</v>
      </c>
      <c r="K81" s="178" t="str">
        <f t="shared" ref="K81:K124" si="66">IF($F81&gt;0,"X"," ")</f>
        <v xml:space="preserve"> </v>
      </c>
      <c r="L81" s="176">
        <f t="shared" ref="L81:L91" si="67">IF(K81="X",($D81-H81)*F81,0)</f>
        <v>0</v>
      </c>
      <c r="M81" s="178" t="str">
        <f t="shared" ref="M81:M124" si="68">IF($E81&gt;0,"X"," ")</f>
        <v>X</v>
      </c>
      <c r="N81" s="177">
        <f t="shared" ref="N81:N106" si="69">IF(M81="X",J81-L81,0)</f>
        <v>63.21</v>
      </c>
      <c r="O81" s="178" t="str">
        <f t="shared" ref="O81:O124" si="70">IF($F81&gt;0,"X"," ")</f>
        <v xml:space="preserve"> </v>
      </c>
      <c r="P81" s="176">
        <f t="shared" ref="P81:P106" si="71">IF(L81&gt;0,L81,0)</f>
        <v>0</v>
      </c>
      <c r="Q81" s="178" t="s">
        <v>0</v>
      </c>
      <c r="R81" s="176">
        <v>1</v>
      </c>
      <c r="S81" s="178" t="s">
        <v>2578</v>
      </c>
      <c r="T81" s="178" t="str">
        <f t="shared" ref="T81:T124" si="72">IF($S81="ACRÍLICA","X"," ")</f>
        <v>X</v>
      </c>
      <c r="U81" s="176">
        <f>IF(T81="X",$N81,0)</f>
        <v>63.21</v>
      </c>
      <c r="V81" s="178" t="str">
        <f t="shared" ref="V81:V124" si="73">IF($S81="EPÓXI","X"," ")</f>
        <v xml:space="preserve"> </v>
      </c>
      <c r="W81" s="176">
        <f>IF(V81="X",$N81,0)</f>
        <v>0</v>
      </c>
      <c r="X81" s="178" t="str">
        <f t="shared" ref="X81:X124" si="74">IF($S81="TEXTURA","X"," ")</f>
        <v xml:space="preserve"> </v>
      </c>
      <c r="Y81" s="176">
        <f>IF(X81="X",$N81,0)</f>
        <v>0</v>
      </c>
      <c r="Z81" s="178" t="s">
        <v>2581</v>
      </c>
      <c r="AA81" s="178" t="str">
        <f t="shared" ref="AA81:AA124" si="75">IF($Z81="ACARTONADO","X"," ")</f>
        <v>X</v>
      </c>
      <c r="AB81" s="176">
        <f t="shared" ref="AB81:AB124" si="76">IF(AA81="X",$C81,0)</f>
        <v>25.29</v>
      </c>
      <c r="AC81" s="178" t="str">
        <f t="shared" ref="AC81:AC124" si="77">IF($Z81="MINERAL","X"," ")</f>
        <v xml:space="preserve"> </v>
      </c>
      <c r="AD81" s="176">
        <f t="shared" ref="AD81:AD124" si="78">IF(AC81="X",$C81,0)</f>
        <v>0</v>
      </c>
      <c r="AE81" s="178" t="str">
        <f t="shared" ref="AE81:AE124" si="79">IF($Z81="LAJE","X"," ")</f>
        <v xml:space="preserve"> </v>
      </c>
      <c r="AF81" s="176">
        <f t="shared" ref="AF81:AF124" si="80">IF(AE81="X",$C81,0)</f>
        <v>0</v>
      </c>
      <c r="AG81" s="178" t="str">
        <f t="shared" ref="AG81:AG124" si="81">IF(K81="X","","X")</f>
        <v>X</v>
      </c>
      <c r="AH81" s="176">
        <f t="shared" ref="AH81:AH124" si="82">IF(AG81="X",$D81-H81,0)</f>
        <v>21.07</v>
      </c>
    </row>
    <row r="82" spans="2:34" ht="16.5" outlineLevel="1" x14ac:dyDescent="0.25">
      <c r="B82" s="175" t="s">
        <v>2643</v>
      </c>
      <c r="C82" s="176">
        <v>5.17</v>
      </c>
      <c r="D82" s="176">
        <v>9.99</v>
      </c>
      <c r="E82" s="194">
        <v>3</v>
      </c>
      <c r="F82" s="194">
        <v>2.1</v>
      </c>
      <c r="G82" s="194">
        <f t="shared" ref="G82:G124" si="83">E82-F82</f>
        <v>0.89999999999999991</v>
      </c>
      <c r="H82" s="176"/>
      <c r="I82" s="178" t="str">
        <f t="shared" si="64"/>
        <v>X</v>
      </c>
      <c r="J82" s="176">
        <f t="shared" si="65"/>
        <v>29.97</v>
      </c>
      <c r="K82" s="178" t="str">
        <f t="shared" si="66"/>
        <v>X</v>
      </c>
      <c r="L82" s="176">
        <f t="shared" si="67"/>
        <v>20.979000000000003</v>
      </c>
      <c r="M82" s="178" t="str">
        <f t="shared" si="68"/>
        <v>X</v>
      </c>
      <c r="N82" s="177">
        <f t="shared" si="69"/>
        <v>8.9909999999999961</v>
      </c>
      <c r="O82" s="178" t="str">
        <f t="shared" si="70"/>
        <v>X</v>
      </c>
      <c r="P82" s="176">
        <f t="shared" si="71"/>
        <v>20.979000000000003</v>
      </c>
      <c r="Q82" s="178" t="s">
        <v>0</v>
      </c>
      <c r="R82" s="176"/>
      <c r="S82" s="178" t="s">
        <v>2578</v>
      </c>
      <c r="T82" s="178" t="str">
        <f t="shared" si="72"/>
        <v>X</v>
      </c>
      <c r="U82" s="176">
        <f t="shared" ref="U82:U124" si="84">IF(T82="X",$N82,0)</f>
        <v>8.9909999999999961</v>
      </c>
      <c r="V82" s="178" t="str">
        <f t="shared" si="73"/>
        <v xml:space="preserve"> </v>
      </c>
      <c r="W82" s="176">
        <f t="shared" ref="W82:W124" si="85">IF(V82="X",$N82,0)</f>
        <v>0</v>
      </c>
      <c r="X82" s="178" t="str">
        <f t="shared" si="74"/>
        <v xml:space="preserve"> </v>
      </c>
      <c r="Y82" s="176">
        <f t="shared" ref="Y82:Y124" si="86">IF(X82="X",$N82,0)</f>
        <v>0</v>
      </c>
      <c r="Z82" s="178" t="s">
        <v>2581</v>
      </c>
      <c r="AA82" s="178" t="str">
        <f t="shared" si="75"/>
        <v>X</v>
      </c>
      <c r="AB82" s="176">
        <f t="shared" si="76"/>
        <v>5.17</v>
      </c>
      <c r="AC82" s="178" t="str">
        <f t="shared" si="77"/>
        <v xml:space="preserve"> </v>
      </c>
      <c r="AD82" s="176">
        <f t="shared" si="78"/>
        <v>0</v>
      </c>
      <c r="AE82" s="178" t="str">
        <f t="shared" si="79"/>
        <v xml:space="preserve"> </v>
      </c>
      <c r="AF82" s="176">
        <f t="shared" si="80"/>
        <v>0</v>
      </c>
      <c r="AG82" s="178" t="str">
        <f t="shared" si="81"/>
        <v/>
      </c>
      <c r="AH82" s="176">
        <f t="shared" si="82"/>
        <v>0</v>
      </c>
    </row>
    <row r="83" spans="2:34" ht="16.5" outlineLevel="1" x14ac:dyDescent="0.25">
      <c r="B83" s="175" t="s">
        <v>2644</v>
      </c>
      <c r="C83" s="176">
        <v>25.39</v>
      </c>
      <c r="D83" s="176">
        <v>21.12</v>
      </c>
      <c r="E83" s="194">
        <v>3</v>
      </c>
      <c r="F83" s="194">
        <v>0</v>
      </c>
      <c r="G83" s="194">
        <f t="shared" si="83"/>
        <v>3</v>
      </c>
      <c r="H83" s="176"/>
      <c r="I83" s="178" t="str">
        <f t="shared" si="64"/>
        <v>X</v>
      </c>
      <c r="J83" s="176">
        <f t="shared" si="65"/>
        <v>63.36</v>
      </c>
      <c r="K83" s="178" t="str">
        <f t="shared" si="66"/>
        <v xml:space="preserve"> </v>
      </c>
      <c r="L83" s="176">
        <f t="shared" si="67"/>
        <v>0</v>
      </c>
      <c r="M83" s="178" t="str">
        <f t="shared" si="68"/>
        <v>X</v>
      </c>
      <c r="N83" s="177">
        <f t="shared" si="69"/>
        <v>63.36</v>
      </c>
      <c r="O83" s="178" t="str">
        <f t="shared" si="70"/>
        <v xml:space="preserve"> </v>
      </c>
      <c r="P83" s="176">
        <f t="shared" si="71"/>
        <v>0</v>
      </c>
      <c r="Q83" s="178" t="s">
        <v>0</v>
      </c>
      <c r="R83" s="176">
        <v>1</v>
      </c>
      <c r="S83" s="178" t="s">
        <v>2578</v>
      </c>
      <c r="T83" s="178" t="str">
        <f t="shared" si="72"/>
        <v>X</v>
      </c>
      <c r="U83" s="176">
        <f t="shared" si="84"/>
        <v>63.36</v>
      </c>
      <c r="V83" s="178" t="str">
        <f t="shared" si="73"/>
        <v xml:space="preserve"> </v>
      </c>
      <c r="W83" s="176">
        <f t="shared" si="85"/>
        <v>0</v>
      </c>
      <c r="X83" s="178" t="str">
        <f t="shared" si="74"/>
        <v xml:space="preserve"> </v>
      </c>
      <c r="Y83" s="176">
        <f t="shared" si="86"/>
        <v>0</v>
      </c>
      <c r="Z83" s="178" t="s">
        <v>2581</v>
      </c>
      <c r="AA83" s="178" t="str">
        <f t="shared" si="75"/>
        <v>X</v>
      </c>
      <c r="AB83" s="176">
        <f t="shared" si="76"/>
        <v>25.39</v>
      </c>
      <c r="AC83" s="178" t="str">
        <f t="shared" si="77"/>
        <v xml:space="preserve"> </v>
      </c>
      <c r="AD83" s="176">
        <f t="shared" si="78"/>
        <v>0</v>
      </c>
      <c r="AE83" s="178" t="str">
        <f t="shared" si="79"/>
        <v xml:space="preserve"> </v>
      </c>
      <c r="AF83" s="176">
        <f t="shared" si="80"/>
        <v>0</v>
      </c>
      <c r="AG83" s="178" t="str">
        <f t="shared" si="81"/>
        <v>X</v>
      </c>
      <c r="AH83" s="176">
        <f t="shared" si="82"/>
        <v>21.12</v>
      </c>
    </row>
    <row r="84" spans="2:34" ht="16.5" outlineLevel="1" x14ac:dyDescent="0.25">
      <c r="B84" s="175" t="s">
        <v>2645</v>
      </c>
      <c r="C84" s="176">
        <v>5.18</v>
      </c>
      <c r="D84" s="176">
        <v>10</v>
      </c>
      <c r="E84" s="194">
        <v>3</v>
      </c>
      <c r="F84" s="194">
        <v>2.1</v>
      </c>
      <c r="G84" s="194">
        <f t="shared" si="83"/>
        <v>0.89999999999999991</v>
      </c>
      <c r="H84" s="176"/>
      <c r="I84" s="178" t="str">
        <f t="shared" si="64"/>
        <v>X</v>
      </c>
      <c r="J84" s="176">
        <f t="shared" si="65"/>
        <v>30</v>
      </c>
      <c r="K84" s="178" t="str">
        <f t="shared" si="66"/>
        <v>X</v>
      </c>
      <c r="L84" s="176">
        <f t="shared" si="67"/>
        <v>21</v>
      </c>
      <c r="M84" s="178" t="str">
        <f t="shared" si="68"/>
        <v>X</v>
      </c>
      <c r="N84" s="177">
        <f t="shared" si="69"/>
        <v>9</v>
      </c>
      <c r="O84" s="178" t="str">
        <f t="shared" si="70"/>
        <v>X</v>
      </c>
      <c r="P84" s="176">
        <f t="shared" si="71"/>
        <v>21</v>
      </c>
      <c r="Q84" s="178" t="s">
        <v>0</v>
      </c>
      <c r="R84" s="176"/>
      <c r="S84" s="178" t="s">
        <v>2578</v>
      </c>
      <c r="T84" s="178" t="str">
        <f t="shared" si="72"/>
        <v>X</v>
      </c>
      <c r="U84" s="176">
        <f t="shared" si="84"/>
        <v>9</v>
      </c>
      <c r="V84" s="178" t="str">
        <f t="shared" si="73"/>
        <v xml:space="preserve"> </v>
      </c>
      <c r="W84" s="176">
        <f t="shared" si="85"/>
        <v>0</v>
      </c>
      <c r="X84" s="178" t="str">
        <f t="shared" si="74"/>
        <v xml:space="preserve"> </v>
      </c>
      <c r="Y84" s="176">
        <f t="shared" si="86"/>
        <v>0</v>
      </c>
      <c r="Z84" s="178" t="s">
        <v>2581</v>
      </c>
      <c r="AA84" s="178" t="str">
        <f t="shared" si="75"/>
        <v>X</v>
      </c>
      <c r="AB84" s="176">
        <f t="shared" si="76"/>
        <v>5.18</v>
      </c>
      <c r="AC84" s="178" t="str">
        <f t="shared" si="77"/>
        <v xml:space="preserve"> </v>
      </c>
      <c r="AD84" s="176">
        <f t="shared" si="78"/>
        <v>0</v>
      </c>
      <c r="AE84" s="178" t="str">
        <f t="shared" si="79"/>
        <v xml:space="preserve"> </v>
      </c>
      <c r="AF84" s="176">
        <f t="shared" si="80"/>
        <v>0</v>
      </c>
      <c r="AG84" s="178" t="str">
        <f t="shared" si="81"/>
        <v/>
      </c>
      <c r="AH84" s="176">
        <f t="shared" si="82"/>
        <v>0</v>
      </c>
    </row>
    <row r="85" spans="2:34" ht="16.5" outlineLevel="1" x14ac:dyDescent="0.25">
      <c r="B85" s="175" t="s">
        <v>2646</v>
      </c>
      <c r="C85" s="176">
        <v>25.4</v>
      </c>
      <c r="D85" s="176">
        <v>21.12</v>
      </c>
      <c r="E85" s="194">
        <v>3</v>
      </c>
      <c r="F85" s="194">
        <v>0</v>
      </c>
      <c r="G85" s="194">
        <f t="shared" si="83"/>
        <v>3</v>
      </c>
      <c r="H85" s="176"/>
      <c r="I85" s="178" t="str">
        <f t="shared" si="64"/>
        <v>X</v>
      </c>
      <c r="J85" s="176">
        <f t="shared" si="65"/>
        <v>63.36</v>
      </c>
      <c r="K85" s="178" t="str">
        <f t="shared" si="66"/>
        <v xml:space="preserve"> </v>
      </c>
      <c r="L85" s="176">
        <f t="shared" si="67"/>
        <v>0</v>
      </c>
      <c r="M85" s="178" t="str">
        <f t="shared" si="68"/>
        <v>X</v>
      </c>
      <c r="N85" s="177">
        <f t="shared" si="69"/>
        <v>63.36</v>
      </c>
      <c r="O85" s="178" t="str">
        <f t="shared" si="70"/>
        <v xml:space="preserve"> </v>
      </c>
      <c r="P85" s="176">
        <f t="shared" si="71"/>
        <v>0</v>
      </c>
      <c r="Q85" s="178" t="s">
        <v>0</v>
      </c>
      <c r="R85" s="176">
        <v>1</v>
      </c>
      <c r="S85" s="178" t="s">
        <v>2578</v>
      </c>
      <c r="T85" s="178" t="str">
        <f t="shared" si="72"/>
        <v>X</v>
      </c>
      <c r="U85" s="176">
        <f t="shared" si="84"/>
        <v>63.36</v>
      </c>
      <c r="V85" s="178" t="str">
        <f t="shared" si="73"/>
        <v xml:space="preserve"> </v>
      </c>
      <c r="W85" s="176">
        <f t="shared" si="85"/>
        <v>0</v>
      </c>
      <c r="X85" s="178" t="str">
        <f t="shared" si="74"/>
        <v xml:space="preserve"> </v>
      </c>
      <c r="Y85" s="176">
        <f t="shared" si="86"/>
        <v>0</v>
      </c>
      <c r="Z85" s="178" t="s">
        <v>2581</v>
      </c>
      <c r="AA85" s="178" t="str">
        <f t="shared" si="75"/>
        <v>X</v>
      </c>
      <c r="AB85" s="176">
        <f t="shared" si="76"/>
        <v>25.4</v>
      </c>
      <c r="AC85" s="178" t="str">
        <f t="shared" si="77"/>
        <v xml:space="preserve"> </v>
      </c>
      <c r="AD85" s="176">
        <f t="shared" si="78"/>
        <v>0</v>
      </c>
      <c r="AE85" s="178" t="str">
        <f t="shared" si="79"/>
        <v xml:space="preserve"> </v>
      </c>
      <c r="AF85" s="176">
        <f t="shared" si="80"/>
        <v>0</v>
      </c>
      <c r="AG85" s="178" t="str">
        <f t="shared" si="81"/>
        <v>X</v>
      </c>
      <c r="AH85" s="176">
        <f t="shared" si="82"/>
        <v>21.12</v>
      </c>
    </row>
    <row r="86" spans="2:34" ht="16.5" outlineLevel="1" x14ac:dyDescent="0.25">
      <c r="B86" s="175" t="s">
        <v>2647</v>
      </c>
      <c r="C86" s="176">
        <v>5.18</v>
      </c>
      <c r="D86" s="176">
        <v>10</v>
      </c>
      <c r="E86" s="194">
        <v>3</v>
      </c>
      <c r="F86" s="194">
        <v>2.1</v>
      </c>
      <c r="G86" s="194">
        <f t="shared" si="83"/>
        <v>0.89999999999999991</v>
      </c>
      <c r="H86" s="176"/>
      <c r="I86" s="178" t="str">
        <f t="shared" si="64"/>
        <v>X</v>
      </c>
      <c r="J86" s="176">
        <f t="shared" si="65"/>
        <v>30</v>
      </c>
      <c r="K86" s="178" t="str">
        <f t="shared" si="66"/>
        <v>X</v>
      </c>
      <c r="L86" s="176">
        <f t="shared" si="67"/>
        <v>21</v>
      </c>
      <c r="M86" s="178" t="str">
        <f t="shared" si="68"/>
        <v>X</v>
      </c>
      <c r="N86" s="177">
        <f t="shared" si="69"/>
        <v>9</v>
      </c>
      <c r="O86" s="178" t="str">
        <f t="shared" si="70"/>
        <v>X</v>
      </c>
      <c r="P86" s="176">
        <f t="shared" si="71"/>
        <v>21</v>
      </c>
      <c r="Q86" s="178" t="s">
        <v>0</v>
      </c>
      <c r="R86" s="176"/>
      <c r="S86" s="178" t="s">
        <v>2578</v>
      </c>
      <c r="T86" s="178" t="str">
        <f t="shared" si="72"/>
        <v>X</v>
      </c>
      <c r="U86" s="176">
        <f t="shared" si="84"/>
        <v>9</v>
      </c>
      <c r="V86" s="178" t="str">
        <f t="shared" si="73"/>
        <v xml:space="preserve"> </v>
      </c>
      <c r="W86" s="176">
        <f t="shared" si="85"/>
        <v>0</v>
      </c>
      <c r="X86" s="178" t="str">
        <f t="shared" si="74"/>
        <v xml:space="preserve"> </v>
      </c>
      <c r="Y86" s="176">
        <f t="shared" si="86"/>
        <v>0</v>
      </c>
      <c r="Z86" s="178" t="s">
        <v>2581</v>
      </c>
      <c r="AA86" s="178" t="str">
        <f t="shared" si="75"/>
        <v>X</v>
      </c>
      <c r="AB86" s="176">
        <f t="shared" si="76"/>
        <v>5.18</v>
      </c>
      <c r="AC86" s="178" t="str">
        <f t="shared" si="77"/>
        <v xml:space="preserve"> </v>
      </c>
      <c r="AD86" s="176">
        <f t="shared" si="78"/>
        <v>0</v>
      </c>
      <c r="AE86" s="178" t="str">
        <f t="shared" si="79"/>
        <v xml:space="preserve"> </v>
      </c>
      <c r="AF86" s="176">
        <f t="shared" si="80"/>
        <v>0</v>
      </c>
      <c r="AG86" s="178" t="str">
        <f t="shared" si="81"/>
        <v/>
      </c>
      <c r="AH86" s="176">
        <f t="shared" si="82"/>
        <v>0</v>
      </c>
    </row>
    <row r="87" spans="2:34" ht="16.5" outlineLevel="1" x14ac:dyDescent="0.25">
      <c r="B87" s="175" t="s">
        <v>2648</v>
      </c>
      <c r="C87" s="176">
        <v>25.84</v>
      </c>
      <c r="D87" s="176">
        <v>21.32</v>
      </c>
      <c r="E87" s="194">
        <v>3</v>
      </c>
      <c r="F87" s="194">
        <v>0</v>
      </c>
      <c r="G87" s="194">
        <f t="shared" si="83"/>
        <v>3</v>
      </c>
      <c r="H87" s="176"/>
      <c r="I87" s="178" t="str">
        <f t="shared" si="64"/>
        <v>X</v>
      </c>
      <c r="J87" s="176">
        <f t="shared" si="65"/>
        <v>63.96</v>
      </c>
      <c r="K87" s="178" t="str">
        <f t="shared" si="66"/>
        <v xml:space="preserve"> </v>
      </c>
      <c r="L87" s="176">
        <f t="shared" si="67"/>
        <v>0</v>
      </c>
      <c r="M87" s="178" t="str">
        <f t="shared" si="68"/>
        <v>X</v>
      </c>
      <c r="N87" s="177">
        <f t="shared" si="69"/>
        <v>63.96</v>
      </c>
      <c r="O87" s="178" t="str">
        <f t="shared" si="70"/>
        <v xml:space="preserve"> </v>
      </c>
      <c r="P87" s="176">
        <f t="shared" si="71"/>
        <v>0</v>
      </c>
      <c r="Q87" s="178" t="s">
        <v>0</v>
      </c>
      <c r="R87" s="176">
        <v>1</v>
      </c>
      <c r="S87" s="178" t="s">
        <v>2578</v>
      </c>
      <c r="T87" s="178" t="str">
        <f t="shared" si="72"/>
        <v>X</v>
      </c>
      <c r="U87" s="176">
        <f t="shared" si="84"/>
        <v>63.96</v>
      </c>
      <c r="V87" s="178" t="str">
        <f t="shared" si="73"/>
        <v xml:space="preserve"> </v>
      </c>
      <c r="W87" s="176">
        <f t="shared" si="85"/>
        <v>0</v>
      </c>
      <c r="X87" s="178" t="str">
        <f t="shared" si="74"/>
        <v xml:space="preserve"> </v>
      </c>
      <c r="Y87" s="176">
        <f t="shared" si="86"/>
        <v>0</v>
      </c>
      <c r="Z87" s="178" t="s">
        <v>2581</v>
      </c>
      <c r="AA87" s="178" t="str">
        <f t="shared" si="75"/>
        <v>X</v>
      </c>
      <c r="AB87" s="176">
        <f t="shared" si="76"/>
        <v>25.84</v>
      </c>
      <c r="AC87" s="178" t="str">
        <f t="shared" si="77"/>
        <v xml:space="preserve"> </v>
      </c>
      <c r="AD87" s="176">
        <f t="shared" si="78"/>
        <v>0</v>
      </c>
      <c r="AE87" s="178" t="str">
        <f t="shared" si="79"/>
        <v xml:space="preserve"> </v>
      </c>
      <c r="AF87" s="176">
        <f t="shared" si="80"/>
        <v>0</v>
      </c>
      <c r="AG87" s="178" t="str">
        <f t="shared" si="81"/>
        <v>X</v>
      </c>
      <c r="AH87" s="176">
        <f t="shared" si="82"/>
        <v>21.32</v>
      </c>
    </row>
    <row r="88" spans="2:34" ht="16.5" outlineLevel="1" x14ac:dyDescent="0.25">
      <c r="B88" s="175" t="s">
        <v>2649</v>
      </c>
      <c r="C88" s="176">
        <v>5.17</v>
      </c>
      <c r="D88" s="176">
        <v>9.99</v>
      </c>
      <c r="E88" s="194">
        <v>3</v>
      </c>
      <c r="F88" s="194">
        <v>2.1</v>
      </c>
      <c r="G88" s="194">
        <f t="shared" si="83"/>
        <v>0.89999999999999991</v>
      </c>
      <c r="H88" s="176"/>
      <c r="I88" s="178" t="str">
        <f t="shared" si="64"/>
        <v>X</v>
      </c>
      <c r="J88" s="176">
        <f t="shared" si="65"/>
        <v>29.97</v>
      </c>
      <c r="K88" s="178" t="str">
        <f t="shared" si="66"/>
        <v>X</v>
      </c>
      <c r="L88" s="176">
        <f t="shared" si="67"/>
        <v>20.979000000000003</v>
      </c>
      <c r="M88" s="178" t="str">
        <f t="shared" si="68"/>
        <v>X</v>
      </c>
      <c r="N88" s="177">
        <f t="shared" si="69"/>
        <v>8.9909999999999961</v>
      </c>
      <c r="O88" s="178" t="str">
        <f t="shared" si="70"/>
        <v>X</v>
      </c>
      <c r="P88" s="176">
        <f t="shared" si="71"/>
        <v>20.979000000000003</v>
      </c>
      <c r="Q88" s="178" t="s">
        <v>0</v>
      </c>
      <c r="R88" s="176"/>
      <c r="S88" s="178" t="s">
        <v>2578</v>
      </c>
      <c r="T88" s="178" t="str">
        <f t="shared" si="72"/>
        <v>X</v>
      </c>
      <c r="U88" s="176">
        <f t="shared" si="84"/>
        <v>8.9909999999999961</v>
      </c>
      <c r="V88" s="178" t="str">
        <f t="shared" si="73"/>
        <v xml:space="preserve"> </v>
      </c>
      <c r="W88" s="176">
        <f t="shared" si="85"/>
        <v>0</v>
      </c>
      <c r="X88" s="178" t="str">
        <f t="shared" si="74"/>
        <v xml:space="preserve"> </v>
      </c>
      <c r="Y88" s="176">
        <f t="shared" si="86"/>
        <v>0</v>
      </c>
      <c r="Z88" s="178" t="s">
        <v>2581</v>
      </c>
      <c r="AA88" s="178" t="str">
        <f t="shared" si="75"/>
        <v>X</v>
      </c>
      <c r="AB88" s="176">
        <f t="shared" si="76"/>
        <v>5.17</v>
      </c>
      <c r="AC88" s="178" t="str">
        <f t="shared" si="77"/>
        <v xml:space="preserve"> </v>
      </c>
      <c r="AD88" s="176">
        <f t="shared" si="78"/>
        <v>0</v>
      </c>
      <c r="AE88" s="178" t="str">
        <f t="shared" si="79"/>
        <v xml:space="preserve"> </v>
      </c>
      <c r="AF88" s="176">
        <f t="shared" si="80"/>
        <v>0</v>
      </c>
      <c r="AG88" s="178" t="str">
        <f t="shared" si="81"/>
        <v/>
      </c>
      <c r="AH88" s="176">
        <f t="shared" si="82"/>
        <v>0</v>
      </c>
    </row>
    <row r="89" spans="2:34" ht="16.5" outlineLevel="1" x14ac:dyDescent="0.25">
      <c r="B89" s="175" t="s">
        <v>2650</v>
      </c>
      <c r="C89" s="176">
        <v>61.5</v>
      </c>
      <c r="D89" s="176">
        <v>60.31</v>
      </c>
      <c r="E89" s="194">
        <v>3</v>
      </c>
      <c r="F89" s="194">
        <v>0</v>
      </c>
      <c r="G89" s="194">
        <f t="shared" si="83"/>
        <v>3</v>
      </c>
      <c r="H89" s="176"/>
      <c r="I89" s="178" t="str">
        <f t="shared" si="64"/>
        <v>X</v>
      </c>
      <c r="J89" s="176">
        <f t="shared" si="65"/>
        <v>180.93</v>
      </c>
      <c r="K89" s="178" t="str">
        <f t="shared" si="66"/>
        <v xml:space="preserve"> </v>
      </c>
      <c r="L89" s="176">
        <f t="shared" si="67"/>
        <v>0</v>
      </c>
      <c r="M89" s="178" t="str">
        <f t="shared" si="68"/>
        <v>X</v>
      </c>
      <c r="N89" s="177">
        <f t="shared" si="69"/>
        <v>180.93</v>
      </c>
      <c r="O89" s="178" t="str">
        <f t="shared" si="70"/>
        <v xml:space="preserve"> </v>
      </c>
      <c r="P89" s="176">
        <f t="shared" si="71"/>
        <v>0</v>
      </c>
      <c r="Q89" s="178" t="s">
        <v>0</v>
      </c>
      <c r="R89" s="176"/>
      <c r="S89" s="178" t="s">
        <v>2578</v>
      </c>
      <c r="T89" s="178" t="str">
        <f t="shared" si="72"/>
        <v>X</v>
      </c>
      <c r="U89" s="176">
        <f t="shared" si="84"/>
        <v>180.93</v>
      </c>
      <c r="V89" s="178" t="str">
        <f t="shared" si="73"/>
        <v xml:space="preserve"> </v>
      </c>
      <c r="W89" s="176">
        <f t="shared" si="85"/>
        <v>0</v>
      </c>
      <c r="X89" s="178" t="str">
        <f t="shared" si="74"/>
        <v xml:space="preserve"> </v>
      </c>
      <c r="Y89" s="176">
        <f t="shared" si="86"/>
        <v>0</v>
      </c>
      <c r="Z89" s="178" t="s">
        <v>2582</v>
      </c>
      <c r="AA89" s="178" t="str">
        <f t="shared" si="75"/>
        <v xml:space="preserve"> </v>
      </c>
      <c r="AB89" s="176">
        <f t="shared" si="76"/>
        <v>0</v>
      </c>
      <c r="AC89" s="178" t="str">
        <f t="shared" si="77"/>
        <v>X</v>
      </c>
      <c r="AD89" s="176">
        <f t="shared" si="78"/>
        <v>61.5</v>
      </c>
      <c r="AE89" s="178" t="str">
        <f t="shared" si="79"/>
        <v xml:space="preserve"> </v>
      </c>
      <c r="AF89" s="176">
        <f t="shared" si="80"/>
        <v>0</v>
      </c>
      <c r="AG89" s="178" t="str">
        <f t="shared" si="81"/>
        <v>X</v>
      </c>
      <c r="AH89" s="176">
        <f t="shared" si="82"/>
        <v>60.31</v>
      </c>
    </row>
    <row r="90" spans="2:34" ht="16.5" outlineLevel="1" x14ac:dyDescent="0.25">
      <c r="B90" s="175" t="s">
        <v>2651</v>
      </c>
      <c r="C90" s="176">
        <v>27.4</v>
      </c>
      <c r="D90" s="176">
        <v>21.75</v>
      </c>
      <c r="E90" s="194">
        <v>3</v>
      </c>
      <c r="F90" s="194">
        <v>0</v>
      </c>
      <c r="G90" s="194">
        <f t="shared" si="83"/>
        <v>3</v>
      </c>
      <c r="H90" s="176"/>
      <c r="I90" s="178" t="str">
        <f t="shared" si="64"/>
        <v>X</v>
      </c>
      <c r="J90" s="176">
        <f t="shared" si="65"/>
        <v>65.25</v>
      </c>
      <c r="K90" s="178" t="str">
        <f t="shared" si="66"/>
        <v xml:space="preserve"> </v>
      </c>
      <c r="L90" s="176">
        <f t="shared" si="67"/>
        <v>0</v>
      </c>
      <c r="M90" s="178" t="str">
        <f t="shared" si="68"/>
        <v>X</v>
      </c>
      <c r="N90" s="177">
        <f t="shared" si="69"/>
        <v>65.25</v>
      </c>
      <c r="O90" s="178" t="str">
        <f t="shared" si="70"/>
        <v xml:space="preserve"> </v>
      </c>
      <c r="P90" s="176">
        <f t="shared" si="71"/>
        <v>0</v>
      </c>
      <c r="Q90" s="178" t="s">
        <v>0</v>
      </c>
      <c r="R90" s="176">
        <v>1</v>
      </c>
      <c r="S90" s="178" t="s">
        <v>2578</v>
      </c>
      <c r="T90" s="178" t="str">
        <f t="shared" si="72"/>
        <v>X</v>
      </c>
      <c r="U90" s="176">
        <f t="shared" si="84"/>
        <v>65.25</v>
      </c>
      <c r="V90" s="178" t="str">
        <f t="shared" si="73"/>
        <v xml:space="preserve"> </v>
      </c>
      <c r="W90" s="176">
        <f t="shared" si="85"/>
        <v>0</v>
      </c>
      <c r="X90" s="178" t="str">
        <f t="shared" si="74"/>
        <v xml:space="preserve"> </v>
      </c>
      <c r="Y90" s="176">
        <f t="shared" si="86"/>
        <v>0</v>
      </c>
      <c r="Z90" s="178" t="s">
        <v>2581</v>
      </c>
      <c r="AA90" s="178" t="str">
        <f t="shared" si="75"/>
        <v>X</v>
      </c>
      <c r="AB90" s="176">
        <f t="shared" si="76"/>
        <v>27.4</v>
      </c>
      <c r="AC90" s="178" t="str">
        <f t="shared" si="77"/>
        <v xml:space="preserve"> </v>
      </c>
      <c r="AD90" s="176">
        <f t="shared" si="78"/>
        <v>0</v>
      </c>
      <c r="AE90" s="178" t="str">
        <f t="shared" si="79"/>
        <v xml:space="preserve"> </v>
      </c>
      <c r="AF90" s="176">
        <f t="shared" si="80"/>
        <v>0</v>
      </c>
      <c r="AG90" s="178" t="str">
        <f t="shared" si="81"/>
        <v>X</v>
      </c>
      <c r="AH90" s="176">
        <f t="shared" si="82"/>
        <v>21.75</v>
      </c>
    </row>
    <row r="91" spans="2:34" ht="16.5" outlineLevel="1" x14ac:dyDescent="0.25">
      <c r="B91" s="175" t="s">
        <v>2652</v>
      </c>
      <c r="C91" s="176">
        <v>5.14</v>
      </c>
      <c r="D91" s="176">
        <v>9.9700000000000006</v>
      </c>
      <c r="E91" s="194">
        <v>3</v>
      </c>
      <c r="F91" s="194">
        <v>2.1</v>
      </c>
      <c r="G91" s="194">
        <f t="shared" si="83"/>
        <v>0.89999999999999991</v>
      </c>
      <c r="H91" s="176"/>
      <c r="I91" s="178" t="str">
        <f t="shared" si="64"/>
        <v>X</v>
      </c>
      <c r="J91" s="176">
        <f t="shared" si="65"/>
        <v>29.910000000000004</v>
      </c>
      <c r="K91" s="178" t="str">
        <f t="shared" si="66"/>
        <v>X</v>
      </c>
      <c r="L91" s="176">
        <f t="shared" si="67"/>
        <v>20.937000000000001</v>
      </c>
      <c r="M91" s="178" t="str">
        <f t="shared" si="68"/>
        <v>X</v>
      </c>
      <c r="N91" s="177">
        <f t="shared" si="69"/>
        <v>8.9730000000000025</v>
      </c>
      <c r="O91" s="178" t="str">
        <f t="shared" si="70"/>
        <v>X</v>
      </c>
      <c r="P91" s="176">
        <f t="shared" si="71"/>
        <v>20.937000000000001</v>
      </c>
      <c r="Q91" s="178" t="s">
        <v>0</v>
      </c>
      <c r="R91" s="176"/>
      <c r="S91" s="178" t="s">
        <v>2578</v>
      </c>
      <c r="T91" s="178" t="str">
        <f t="shared" si="72"/>
        <v>X</v>
      </c>
      <c r="U91" s="176">
        <f t="shared" si="84"/>
        <v>8.9730000000000025</v>
      </c>
      <c r="V91" s="178" t="str">
        <f t="shared" si="73"/>
        <v xml:space="preserve"> </v>
      </c>
      <c r="W91" s="176">
        <f t="shared" si="85"/>
        <v>0</v>
      </c>
      <c r="X91" s="178" t="str">
        <f t="shared" si="74"/>
        <v xml:space="preserve"> </v>
      </c>
      <c r="Y91" s="176">
        <f t="shared" si="86"/>
        <v>0</v>
      </c>
      <c r="Z91" s="178" t="s">
        <v>2581</v>
      </c>
      <c r="AA91" s="178" t="str">
        <f t="shared" si="75"/>
        <v>X</v>
      </c>
      <c r="AB91" s="176">
        <f t="shared" si="76"/>
        <v>5.14</v>
      </c>
      <c r="AC91" s="178" t="str">
        <f t="shared" si="77"/>
        <v xml:space="preserve"> </v>
      </c>
      <c r="AD91" s="176">
        <f t="shared" si="78"/>
        <v>0</v>
      </c>
      <c r="AE91" s="178" t="str">
        <f t="shared" si="79"/>
        <v xml:space="preserve"> </v>
      </c>
      <c r="AF91" s="176">
        <f t="shared" si="80"/>
        <v>0</v>
      </c>
      <c r="AG91" s="178" t="str">
        <f t="shared" si="81"/>
        <v/>
      </c>
      <c r="AH91" s="176">
        <f t="shared" si="82"/>
        <v>0</v>
      </c>
    </row>
    <row r="92" spans="2:34" ht="16.5" outlineLevel="1" x14ac:dyDescent="0.25">
      <c r="B92" s="175" t="s">
        <v>2653</v>
      </c>
      <c r="C92" s="176">
        <v>5.74</v>
      </c>
      <c r="D92" s="176">
        <v>10.61</v>
      </c>
      <c r="E92" s="194">
        <v>3</v>
      </c>
      <c r="F92" s="194">
        <v>2.1</v>
      </c>
      <c r="G92" s="194">
        <f t="shared" si="83"/>
        <v>0.89999999999999991</v>
      </c>
      <c r="H92" s="176"/>
      <c r="I92" s="178" t="str">
        <f t="shared" si="64"/>
        <v>X</v>
      </c>
      <c r="J92" s="176">
        <f t="shared" si="65"/>
        <v>31.83</v>
      </c>
      <c r="K92" s="178" t="str">
        <f t="shared" si="66"/>
        <v>X</v>
      </c>
      <c r="L92" s="176">
        <f t="shared" ref="L92:L106" si="87">IF(K92="X",($D92-H92)*F92,0)</f>
        <v>22.280999999999999</v>
      </c>
      <c r="M92" s="178" t="str">
        <f t="shared" si="68"/>
        <v>X</v>
      </c>
      <c r="N92" s="177">
        <f t="shared" si="69"/>
        <v>9.5489999999999995</v>
      </c>
      <c r="O92" s="178" t="str">
        <f t="shared" si="70"/>
        <v>X</v>
      </c>
      <c r="P92" s="176">
        <f t="shared" si="71"/>
        <v>22.280999999999999</v>
      </c>
      <c r="Q92" s="178" t="s">
        <v>0</v>
      </c>
      <c r="R92" s="176"/>
      <c r="S92" s="178" t="s">
        <v>2578</v>
      </c>
      <c r="T92" s="178" t="str">
        <f t="shared" si="72"/>
        <v>X</v>
      </c>
      <c r="U92" s="176">
        <f t="shared" si="84"/>
        <v>9.5489999999999995</v>
      </c>
      <c r="V92" s="178" t="str">
        <f t="shared" si="73"/>
        <v xml:space="preserve"> </v>
      </c>
      <c r="W92" s="176">
        <f t="shared" si="85"/>
        <v>0</v>
      </c>
      <c r="X92" s="178" t="str">
        <f t="shared" si="74"/>
        <v xml:space="preserve"> </v>
      </c>
      <c r="Y92" s="176">
        <f t="shared" si="86"/>
        <v>0</v>
      </c>
      <c r="Z92" s="178" t="s">
        <v>2581</v>
      </c>
      <c r="AA92" s="178" t="str">
        <f t="shared" si="75"/>
        <v>X</v>
      </c>
      <c r="AB92" s="176">
        <f t="shared" si="76"/>
        <v>5.74</v>
      </c>
      <c r="AC92" s="178" t="str">
        <f t="shared" si="77"/>
        <v xml:space="preserve"> </v>
      </c>
      <c r="AD92" s="176">
        <f t="shared" si="78"/>
        <v>0</v>
      </c>
      <c r="AE92" s="178" t="str">
        <f t="shared" si="79"/>
        <v xml:space="preserve"> </v>
      </c>
      <c r="AF92" s="176">
        <f t="shared" si="80"/>
        <v>0</v>
      </c>
      <c r="AG92" s="178" t="str">
        <f t="shared" si="81"/>
        <v/>
      </c>
      <c r="AH92" s="176">
        <f t="shared" si="82"/>
        <v>0</v>
      </c>
    </row>
    <row r="93" spans="2:34" ht="16.5" outlineLevel="1" x14ac:dyDescent="0.25">
      <c r="B93" s="175" t="s">
        <v>2654</v>
      </c>
      <c r="C93" s="176">
        <v>10.68</v>
      </c>
      <c r="D93" s="176">
        <v>14.12</v>
      </c>
      <c r="E93" s="194">
        <v>3</v>
      </c>
      <c r="F93" s="194">
        <v>2.1</v>
      </c>
      <c r="G93" s="194">
        <f t="shared" si="83"/>
        <v>0.89999999999999991</v>
      </c>
      <c r="H93" s="176"/>
      <c r="I93" s="178" t="str">
        <f t="shared" si="64"/>
        <v>X</v>
      </c>
      <c r="J93" s="176">
        <f t="shared" si="65"/>
        <v>42.36</v>
      </c>
      <c r="K93" s="178" t="str">
        <f t="shared" si="66"/>
        <v>X</v>
      </c>
      <c r="L93" s="176">
        <f t="shared" si="87"/>
        <v>29.652000000000001</v>
      </c>
      <c r="M93" s="178" t="str">
        <f t="shared" si="68"/>
        <v>X</v>
      </c>
      <c r="N93" s="177">
        <f t="shared" si="69"/>
        <v>12.707999999999998</v>
      </c>
      <c r="O93" s="178" t="str">
        <f t="shared" si="70"/>
        <v>X</v>
      </c>
      <c r="P93" s="176">
        <f t="shared" si="71"/>
        <v>29.652000000000001</v>
      </c>
      <c r="Q93" s="178" t="s">
        <v>0</v>
      </c>
      <c r="R93" s="176"/>
      <c r="S93" s="178" t="s">
        <v>2578</v>
      </c>
      <c r="T93" s="178" t="str">
        <f t="shared" si="72"/>
        <v>X</v>
      </c>
      <c r="U93" s="176">
        <f t="shared" si="84"/>
        <v>12.707999999999998</v>
      </c>
      <c r="V93" s="178" t="str">
        <f t="shared" si="73"/>
        <v xml:space="preserve"> </v>
      </c>
      <c r="W93" s="176">
        <f t="shared" si="85"/>
        <v>0</v>
      </c>
      <c r="X93" s="178" t="str">
        <f t="shared" si="74"/>
        <v xml:space="preserve"> </v>
      </c>
      <c r="Y93" s="176">
        <f t="shared" si="86"/>
        <v>0</v>
      </c>
      <c r="Z93" s="178" t="s">
        <v>2581</v>
      </c>
      <c r="AA93" s="178" t="str">
        <f t="shared" si="75"/>
        <v>X</v>
      </c>
      <c r="AB93" s="176">
        <f t="shared" si="76"/>
        <v>10.68</v>
      </c>
      <c r="AC93" s="178" t="str">
        <f t="shared" si="77"/>
        <v xml:space="preserve"> </v>
      </c>
      <c r="AD93" s="176">
        <f t="shared" si="78"/>
        <v>0</v>
      </c>
      <c r="AE93" s="178" t="str">
        <f t="shared" si="79"/>
        <v xml:space="preserve"> </v>
      </c>
      <c r="AF93" s="176">
        <f t="shared" si="80"/>
        <v>0</v>
      </c>
      <c r="AG93" s="178" t="str">
        <f t="shared" si="81"/>
        <v/>
      </c>
      <c r="AH93" s="176">
        <f t="shared" si="82"/>
        <v>0</v>
      </c>
    </row>
    <row r="94" spans="2:34" ht="16.5" outlineLevel="1" x14ac:dyDescent="0.25">
      <c r="B94" s="175" t="s">
        <v>2655</v>
      </c>
      <c r="C94" s="176">
        <v>7.23</v>
      </c>
      <c r="D94" s="176">
        <v>10.91</v>
      </c>
      <c r="E94" s="194">
        <v>3</v>
      </c>
      <c r="F94" s="194">
        <v>0</v>
      </c>
      <c r="G94" s="194">
        <f t="shared" si="83"/>
        <v>3</v>
      </c>
      <c r="H94" s="176"/>
      <c r="I94" s="178" t="str">
        <f t="shared" si="64"/>
        <v>X</v>
      </c>
      <c r="J94" s="176">
        <f t="shared" si="65"/>
        <v>32.730000000000004</v>
      </c>
      <c r="K94" s="178" t="str">
        <f t="shared" si="66"/>
        <v xml:space="preserve"> </v>
      </c>
      <c r="L94" s="176">
        <f t="shared" si="87"/>
        <v>0</v>
      </c>
      <c r="M94" s="178" t="str">
        <f t="shared" si="68"/>
        <v>X</v>
      </c>
      <c r="N94" s="177">
        <f t="shared" si="69"/>
        <v>32.730000000000004</v>
      </c>
      <c r="O94" s="178" t="str">
        <f t="shared" si="70"/>
        <v xml:space="preserve"> </v>
      </c>
      <c r="P94" s="176">
        <f t="shared" si="71"/>
        <v>0</v>
      </c>
      <c r="Q94" s="178" t="s">
        <v>0</v>
      </c>
      <c r="R94" s="176"/>
      <c r="S94" s="178" t="s">
        <v>2578</v>
      </c>
      <c r="T94" s="178" t="str">
        <f t="shared" si="72"/>
        <v>X</v>
      </c>
      <c r="U94" s="176">
        <f t="shared" si="84"/>
        <v>32.730000000000004</v>
      </c>
      <c r="V94" s="178" t="str">
        <f t="shared" si="73"/>
        <v xml:space="preserve"> </v>
      </c>
      <c r="W94" s="176">
        <f t="shared" si="85"/>
        <v>0</v>
      </c>
      <c r="X94" s="178" t="str">
        <f t="shared" si="74"/>
        <v xml:space="preserve"> </v>
      </c>
      <c r="Y94" s="176">
        <f t="shared" si="86"/>
        <v>0</v>
      </c>
      <c r="Z94" s="178" t="s">
        <v>2581</v>
      </c>
      <c r="AA94" s="178" t="str">
        <f t="shared" si="75"/>
        <v>X</v>
      </c>
      <c r="AB94" s="176">
        <f t="shared" si="76"/>
        <v>7.23</v>
      </c>
      <c r="AC94" s="178" t="str">
        <f t="shared" si="77"/>
        <v xml:space="preserve"> </v>
      </c>
      <c r="AD94" s="176">
        <f t="shared" si="78"/>
        <v>0</v>
      </c>
      <c r="AE94" s="178" t="str">
        <f t="shared" si="79"/>
        <v xml:space="preserve"> </v>
      </c>
      <c r="AF94" s="176">
        <f t="shared" si="80"/>
        <v>0</v>
      </c>
      <c r="AG94" s="178" t="str">
        <f t="shared" si="81"/>
        <v>X</v>
      </c>
      <c r="AH94" s="176">
        <f t="shared" si="82"/>
        <v>10.91</v>
      </c>
    </row>
    <row r="95" spans="2:34" ht="16.5" outlineLevel="1" x14ac:dyDescent="0.25">
      <c r="B95" s="175" t="s">
        <v>2607</v>
      </c>
      <c r="C95" s="176">
        <v>7.28</v>
      </c>
      <c r="D95" s="176">
        <v>10.91</v>
      </c>
      <c r="E95" s="194">
        <v>3</v>
      </c>
      <c r="F95" s="194">
        <v>0</v>
      </c>
      <c r="G95" s="194">
        <f t="shared" si="83"/>
        <v>3</v>
      </c>
      <c r="H95" s="176"/>
      <c r="I95" s="178" t="str">
        <f t="shared" si="64"/>
        <v>X</v>
      </c>
      <c r="J95" s="176">
        <f t="shared" si="65"/>
        <v>32.730000000000004</v>
      </c>
      <c r="K95" s="178" t="str">
        <f t="shared" si="66"/>
        <v xml:space="preserve"> </v>
      </c>
      <c r="L95" s="176">
        <f t="shared" si="87"/>
        <v>0</v>
      </c>
      <c r="M95" s="178" t="str">
        <f t="shared" si="68"/>
        <v>X</v>
      </c>
      <c r="N95" s="177">
        <f t="shared" si="69"/>
        <v>32.730000000000004</v>
      </c>
      <c r="O95" s="178" t="str">
        <f t="shared" si="70"/>
        <v xml:space="preserve"> </v>
      </c>
      <c r="P95" s="176">
        <f t="shared" si="71"/>
        <v>0</v>
      </c>
      <c r="Q95" s="178" t="s">
        <v>0</v>
      </c>
      <c r="R95" s="176"/>
      <c r="S95" s="178" t="s">
        <v>2578</v>
      </c>
      <c r="T95" s="178" t="str">
        <f t="shared" si="72"/>
        <v>X</v>
      </c>
      <c r="U95" s="176">
        <f t="shared" si="84"/>
        <v>32.730000000000004</v>
      </c>
      <c r="V95" s="178" t="str">
        <f t="shared" si="73"/>
        <v xml:space="preserve"> </v>
      </c>
      <c r="W95" s="176">
        <f t="shared" si="85"/>
        <v>0</v>
      </c>
      <c r="X95" s="178" t="str">
        <f t="shared" si="74"/>
        <v xml:space="preserve"> </v>
      </c>
      <c r="Y95" s="176">
        <f t="shared" si="86"/>
        <v>0</v>
      </c>
      <c r="Z95" s="178" t="s">
        <v>2581</v>
      </c>
      <c r="AA95" s="178" t="str">
        <f t="shared" si="75"/>
        <v>X</v>
      </c>
      <c r="AB95" s="176">
        <f t="shared" si="76"/>
        <v>7.28</v>
      </c>
      <c r="AC95" s="178" t="str">
        <f t="shared" si="77"/>
        <v xml:space="preserve"> </v>
      </c>
      <c r="AD95" s="176">
        <f t="shared" si="78"/>
        <v>0</v>
      </c>
      <c r="AE95" s="178" t="str">
        <f t="shared" si="79"/>
        <v xml:space="preserve"> </v>
      </c>
      <c r="AF95" s="176">
        <f t="shared" si="80"/>
        <v>0</v>
      </c>
      <c r="AG95" s="178" t="str">
        <f t="shared" si="81"/>
        <v>X</v>
      </c>
      <c r="AH95" s="176">
        <f t="shared" si="82"/>
        <v>10.91</v>
      </c>
    </row>
    <row r="96" spans="2:34" ht="16.5" outlineLevel="1" x14ac:dyDescent="0.25">
      <c r="B96" s="175" t="s">
        <v>2656</v>
      </c>
      <c r="C96" s="176">
        <v>12.21</v>
      </c>
      <c r="D96" s="176">
        <v>14.03</v>
      </c>
      <c r="E96" s="194">
        <v>3</v>
      </c>
      <c r="F96" s="194">
        <v>0</v>
      </c>
      <c r="G96" s="194">
        <f t="shared" si="83"/>
        <v>3</v>
      </c>
      <c r="H96" s="176"/>
      <c r="I96" s="178" t="str">
        <f t="shared" si="64"/>
        <v>X</v>
      </c>
      <c r="J96" s="176">
        <f t="shared" si="65"/>
        <v>42.089999999999996</v>
      </c>
      <c r="K96" s="178" t="str">
        <f t="shared" si="66"/>
        <v xml:space="preserve"> </v>
      </c>
      <c r="L96" s="176">
        <f t="shared" si="87"/>
        <v>0</v>
      </c>
      <c r="M96" s="178" t="str">
        <f t="shared" si="68"/>
        <v>X</v>
      </c>
      <c r="N96" s="177">
        <f t="shared" si="69"/>
        <v>42.089999999999996</v>
      </c>
      <c r="O96" s="178" t="str">
        <f t="shared" si="70"/>
        <v xml:space="preserve"> </v>
      </c>
      <c r="P96" s="176">
        <f t="shared" si="71"/>
        <v>0</v>
      </c>
      <c r="Q96" s="178" t="s">
        <v>0</v>
      </c>
      <c r="R96" s="176"/>
      <c r="S96" s="178" t="s">
        <v>2578</v>
      </c>
      <c r="T96" s="178" t="str">
        <f t="shared" si="72"/>
        <v>X</v>
      </c>
      <c r="U96" s="176">
        <f t="shared" si="84"/>
        <v>42.089999999999996</v>
      </c>
      <c r="V96" s="178" t="str">
        <f t="shared" si="73"/>
        <v xml:space="preserve"> </v>
      </c>
      <c r="W96" s="176">
        <f t="shared" si="85"/>
        <v>0</v>
      </c>
      <c r="X96" s="178" t="str">
        <f t="shared" si="74"/>
        <v xml:space="preserve"> </v>
      </c>
      <c r="Y96" s="176">
        <f t="shared" si="86"/>
        <v>0</v>
      </c>
      <c r="Z96" s="178" t="s">
        <v>2581</v>
      </c>
      <c r="AA96" s="178" t="str">
        <f t="shared" si="75"/>
        <v>X</v>
      </c>
      <c r="AB96" s="176">
        <f t="shared" si="76"/>
        <v>12.21</v>
      </c>
      <c r="AC96" s="178" t="str">
        <f t="shared" si="77"/>
        <v xml:space="preserve"> </v>
      </c>
      <c r="AD96" s="176">
        <f t="shared" si="78"/>
        <v>0</v>
      </c>
      <c r="AE96" s="178" t="str">
        <f t="shared" si="79"/>
        <v xml:space="preserve"> </v>
      </c>
      <c r="AF96" s="176">
        <f t="shared" si="80"/>
        <v>0</v>
      </c>
      <c r="AG96" s="178" t="str">
        <f t="shared" si="81"/>
        <v>X</v>
      </c>
      <c r="AH96" s="176">
        <f t="shared" si="82"/>
        <v>14.03</v>
      </c>
    </row>
    <row r="97" spans="2:34" ht="16.5" outlineLevel="1" x14ac:dyDescent="0.25">
      <c r="B97" s="175" t="s">
        <v>2657</v>
      </c>
      <c r="C97" s="176">
        <v>25.32</v>
      </c>
      <c r="D97" s="176">
        <v>21.07</v>
      </c>
      <c r="E97" s="194">
        <v>3</v>
      </c>
      <c r="F97" s="194">
        <v>0</v>
      </c>
      <c r="G97" s="194">
        <f t="shared" si="83"/>
        <v>3</v>
      </c>
      <c r="H97" s="176"/>
      <c r="I97" s="178" t="str">
        <f t="shared" si="64"/>
        <v>X</v>
      </c>
      <c r="J97" s="176">
        <f t="shared" si="65"/>
        <v>63.21</v>
      </c>
      <c r="K97" s="178" t="str">
        <f t="shared" si="66"/>
        <v xml:space="preserve"> </v>
      </c>
      <c r="L97" s="176">
        <f t="shared" si="87"/>
        <v>0</v>
      </c>
      <c r="M97" s="178" t="str">
        <f t="shared" si="68"/>
        <v>X</v>
      </c>
      <c r="N97" s="177">
        <f t="shared" si="69"/>
        <v>63.21</v>
      </c>
      <c r="O97" s="178" t="str">
        <f t="shared" si="70"/>
        <v xml:space="preserve"> </v>
      </c>
      <c r="P97" s="176">
        <f t="shared" si="71"/>
        <v>0</v>
      </c>
      <c r="Q97" s="178" t="s">
        <v>0</v>
      </c>
      <c r="R97" s="176">
        <v>1</v>
      </c>
      <c r="S97" s="178" t="s">
        <v>2578</v>
      </c>
      <c r="T97" s="178" t="str">
        <f t="shared" si="72"/>
        <v>X</v>
      </c>
      <c r="U97" s="176">
        <f t="shared" si="84"/>
        <v>63.21</v>
      </c>
      <c r="V97" s="178" t="str">
        <f t="shared" si="73"/>
        <v xml:space="preserve"> </v>
      </c>
      <c r="W97" s="176">
        <f t="shared" si="85"/>
        <v>0</v>
      </c>
      <c r="X97" s="178" t="str">
        <f t="shared" si="74"/>
        <v xml:space="preserve"> </v>
      </c>
      <c r="Y97" s="176">
        <f t="shared" si="86"/>
        <v>0</v>
      </c>
      <c r="Z97" s="178" t="s">
        <v>2581</v>
      </c>
      <c r="AA97" s="178" t="str">
        <f t="shared" si="75"/>
        <v>X</v>
      </c>
      <c r="AB97" s="176">
        <f t="shared" si="76"/>
        <v>25.32</v>
      </c>
      <c r="AC97" s="178" t="str">
        <f t="shared" si="77"/>
        <v xml:space="preserve"> </v>
      </c>
      <c r="AD97" s="176">
        <f t="shared" si="78"/>
        <v>0</v>
      </c>
      <c r="AE97" s="178" t="str">
        <f t="shared" si="79"/>
        <v xml:space="preserve"> </v>
      </c>
      <c r="AF97" s="176">
        <f t="shared" si="80"/>
        <v>0</v>
      </c>
      <c r="AG97" s="178" t="str">
        <f t="shared" si="81"/>
        <v>X</v>
      </c>
      <c r="AH97" s="176">
        <f t="shared" si="82"/>
        <v>21.07</v>
      </c>
    </row>
    <row r="98" spans="2:34" ht="16.5" outlineLevel="1" x14ac:dyDescent="0.25">
      <c r="B98" s="175" t="s">
        <v>2658</v>
      </c>
      <c r="C98" s="176">
        <v>5.15</v>
      </c>
      <c r="D98" s="176">
        <v>9.99</v>
      </c>
      <c r="E98" s="194">
        <v>3</v>
      </c>
      <c r="F98" s="194">
        <v>2.1</v>
      </c>
      <c r="G98" s="194">
        <f t="shared" si="83"/>
        <v>0.89999999999999991</v>
      </c>
      <c r="H98" s="176"/>
      <c r="I98" s="178" t="str">
        <f t="shared" si="64"/>
        <v>X</v>
      </c>
      <c r="J98" s="176">
        <f t="shared" si="65"/>
        <v>29.97</v>
      </c>
      <c r="K98" s="178" t="str">
        <f t="shared" si="66"/>
        <v>X</v>
      </c>
      <c r="L98" s="176">
        <f t="shared" si="87"/>
        <v>20.979000000000003</v>
      </c>
      <c r="M98" s="178" t="str">
        <f t="shared" si="68"/>
        <v>X</v>
      </c>
      <c r="N98" s="177">
        <f t="shared" si="69"/>
        <v>8.9909999999999961</v>
      </c>
      <c r="O98" s="178" t="str">
        <f t="shared" si="70"/>
        <v>X</v>
      </c>
      <c r="P98" s="176">
        <f t="shared" si="71"/>
        <v>20.979000000000003</v>
      </c>
      <c r="Q98" s="178" t="s">
        <v>0</v>
      </c>
      <c r="R98" s="176"/>
      <c r="S98" s="178" t="s">
        <v>2578</v>
      </c>
      <c r="T98" s="178" t="str">
        <f t="shared" si="72"/>
        <v>X</v>
      </c>
      <c r="U98" s="176">
        <f t="shared" si="84"/>
        <v>8.9909999999999961</v>
      </c>
      <c r="V98" s="178" t="str">
        <f t="shared" si="73"/>
        <v xml:space="preserve"> </v>
      </c>
      <c r="W98" s="176">
        <f t="shared" si="85"/>
        <v>0</v>
      </c>
      <c r="X98" s="178" t="str">
        <f t="shared" si="74"/>
        <v xml:space="preserve"> </v>
      </c>
      <c r="Y98" s="176">
        <f t="shared" si="86"/>
        <v>0</v>
      </c>
      <c r="Z98" s="178" t="s">
        <v>2581</v>
      </c>
      <c r="AA98" s="178" t="str">
        <f t="shared" si="75"/>
        <v>X</v>
      </c>
      <c r="AB98" s="176">
        <f t="shared" si="76"/>
        <v>5.15</v>
      </c>
      <c r="AC98" s="178" t="str">
        <f t="shared" si="77"/>
        <v xml:space="preserve"> </v>
      </c>
      <c r="AD98" s="176">
        <f t="shared" si="78"/>
        <v>0</v>
      </c>
      <c r="AE98" s="178" t="str">
        <f t="shared" si="79"/>
        <v xml:space="preserve"> </v>
      </c>
      <c r="AF98" s="176">
        <f t="shared" si="80"/>
        <v>0</v>
      </c>
      <c r="AG98" s="178" t="str">
        <f t="shared" si="81"/>
        <v/>
      </c>
      <c r="AH98" s="176">
        <f t="shared" si="82"/>
        <v>0</v>
      </c>
    </row>
    <row r="99" spans="2:34" ht="16.5" outlineLevel="1" x14ac:dyDescent="0.25">
      <c r="B99" s="175" t="s">
        <v>2659</v>
      </c>
      <c r="C99" s="176">
        <v>12.84</v>
      </c>
      <c r="D99" s="176">
        <v>17.41</v>
      </c>
      <c r="E99" s="194">
        <v>3</v>
      </c>
      <c r="F99" s="194">
        <v>0</v>
      </c>
      <c r="G99" s="194">
        <f t="shared" si="83"/>
        <v>3</v>
      </c>
      <c r="H99" s="176"/>
      <c r="I99" s="178" t="str">
        <f t="shared" si="64"/>
        <v>X</v>
      </c>
      <c r="J99" s="176">
        <f t="shared" si="65"/>
        <v>52.230000000000004</v>
      </c>
      <c r="K99" s="178" t="str">
        <f t="shared" si="66"/>
        <v xml:space="preserve"> </v>
      </c>
      <c r="L99" s="176">
        <f t="shared" si="87"/>
        <v>0</v>
      </c>
      <c r="M99" s="178" t="str">
        <f t="shared" si="68"/>
        <v>X</v>
      </c>
      <c r="N99" s="177">
        <f t="shared" si="69"/>
        <v>52.230000000000004</v>
      </c>
      <c r="O99" s="178" t="str">
        <f t="shared" si="70"/>
        <v xml:space="preserve"> </v>
      </c>
      <c r="P99" s="176">
        <v>1</v>
      </c>
      <c r="Q99" s="178" t="s">
        <v>0</v>
      </c>
      <c r="R99" s="176"/>
      <c r="S99" s="178" t="s">
        <v>2578</v>
      </c>
      <c r="T99" s="178" t="str">
        <f t="shared" si="72"/>
        <v>X</v>
      </c>
      <c r="U99" s="176">
        <f t="shared" si="84"/>
        <v>52.230000000000004</v>
      </c>
      <c r="V99" s="178" t="str">
        <f t="shared" si="73"/>
        <v xml:space="preserve"> </v>
      </c>
      <c r="W99" s="176">
        <f t="shared" si="85"/>
        <v>0</v>
      </c>
      <c r="X99" s="178" t="str">
        <f t="shared" si="74"/>
        <v xml:space="preserve"> </v>
      </c>
      <c r="Y99" s="176">
        <f t="shared" si="86"/>
        <v>0</v>
      </c>
      <c r="Z99" s="178" t="s">
        <v>2581</v>
      </c>
      <c r="AA99" s="178" t="str">
        <f t="shared" si="75"/>
        <v>X</v>
      </c>
      <c r="AB99" s="176">
        <f t="shared" si="76"/>
        <v>12.84</v>
      </c>
      <c r="AC99" s="178" t="str">
        <f t="shared" si="77"/>
        <v xml:space="preserve"> </v>
      </c>
      <c r="AD99" s="176">
        <f t="shared" si="78"/>
        <v>0</v>
      </c>
      <c r="AE99" s="178" t="str">
        <f t="shared" si="79"/>
        <v xml:space="preserve"> </v>
      </c>
      <c r="AF99" s="176">
        <f t="shared" si="80"/>
        <v>0</v>
      </c>
      <c r="AG99" s="178" t="str">
        <f t="shared" si="81"/>
        <v>X</v>
      </c>
      <c r="AH99" s="176">
        <f t="shared" si="82"/>
        <v>17.41</v>
      </c>
    </row>
    <row r="100" spans="2:34" ht="16.5" outlineLevel="1" x14ac:dyDescent="0.25">
      <c r="B100" s="175" t="s">
        <v>2660</v>
      </c>
      <c r="C100" s="176">
        <v>2.52</v>
      </c>
      <c r="D100" s="176">
        <v>6.37</v>
      </c>
      <c r="E100" s="194">
        <v>3</v>
      </c>
      <c r="F100" s="194">
        <v>2.1</v>
      </c>
      <c r="G100" s="194">
        <f t="shared" si="83"/>
        <v>0.89999999999999991</v>
      </c>
      <c r="H100" s="176"/>
      <c r="I100" s="178" t="str">
        <f t="shared" si="64"/>
        <v>X</v>
      </c>
      <c r="J100" s="176">
        <f t="shared" si="65"/>
        <v>19.11</v>
      </c>
      <c r="K100" s="178" t="str">
        <f t="shared" si="66"/>
        <v>X</v>
      </c>
      <c r="L100" s="176">
        <f t="shared" si="87"/>
        <v>13.377000000000001</v>
      </c>
      <c r="M100" s="178" t="str">
        <f t="shared" si="68"/>
        <v>X</v>
      </c>
      <c r="N100" s="177">
        <f t="shared" si="69"/>
        <v>5.7329999999999988</v>
      </c>
      <c r="O100" s="178" t="str">
        <f t="shared" si="70"/>
        <v>X</v>
      </c>
      <c r="P100" s="176">
        <f t="shared" si="71"/>
        <v>13.377000000000001</v>
      </c>
      <c r="Q100" s="178" t="s">
        <v>0</v>
      </c>
      <c r="R100" s="176"/>
      <c r="S100" s="178" t="s">
        <v>2578</v>
      </c>
      <c r="T100" s="178" t="str">
        <f t="shared" si="72"/>
        <v>X</v>
      </c>
      <c r="U100" s="176">
        <f t="shared" si="84"/>
        <v>5.7329999999999988</v>
      </c>
      <c r="V100" s="178" t="str">
        <f t="shared" si="73"/>
        <v xml:space="preserve"> </v>
      </c>
      <c r="W100" s="176">
        <f t="shared" si="85"/>
        <v>0</v>
      </c>
      <c r="X100" s="178" t="str">
        <f t="shared" si="74"/>
        <v xml:space="preserve"> </v>
      </c>
      <c r="Y100" s="176">
        <f t="shared" si="86"/>
        <v>0</v>
      </c>
      <c r="Z100" s="178" t="s">
        <v>2581</v>
      </c>
      <c r="AA100" s="178" t="str">
        <f t="shared" si="75"/>
        <v>X</v>
      </c>
      <c r="AB100" s="176">
        <f t="shared" si="76"/>
        <v>2.52</v>
      </c>
      <c r="AC100" s="178" t="str">
        <f t="shared" si="77"/>
        <v xml:space="preserve"> </v>
      </c>
      <c r="AD100" s="176">
        <f t="shared" si="78"/>
        <v>0</v>
      </c>
      <c r="AE100" s="178" t="str">
        <f t="shared" si="79"/>
        <v xml:space="preserve"> </v>
      </c>
      <c r="AF100" s="176">
        <f t="shared" si="80"/>
        <v>0</v>
      </c>
      <c r="AG100" s="178" t="str">
        <f t="shared" si="81"/>
        <v/>
      </c>
      <c r="AH100" s="176">
        <f t="shared" si="82"/>
        <v>0</v>
      </c>
    </row>
    <row r="101" spans="2:34" ht="16.5" outlineLevel="1" x14ac:dyDescent="0.25">
      <c r="B101" s="175" t="s">
        <v>2661</v>
      </c>
      <c r="C101" s="176">
        <v>2.12</v>
      </c>
      <c r="D101" s="176">
        <v>6.37</v>
      </c>
      <c r="E101" s="194">
        <v>3</v>
      </c>
      <c r="F101" s="194">
        <v>2.1</v>
      </c>
      <c r="G101" s="194">
        <f t="shared" si="83"/>
        <v>0.89999999999999991</v>
      </c>
      <c r="H101" s="176"/>
      <c r="I101" s="178" t="str">
        <f t="shared" si="64"/>
        <v>X</v>
      </c>
      <c r="J101" s="176">
        <f t="shared" si="65"/>
        <v>19.11</v>
      </c>
      <c r="K101" s="178" t="str">
        <f t="shared" si="66"/>
        <v>X</v>
      </c>
      <c r="L101" s="176">
        <f t="shared" si="87"/>
        <v>13.377000000000001</v>
      </c>
      <c r="M101" s="178" t="str">
        <f t="shared" si="68"/>
        <v>X</v>
      </c>
      <c r="N101" s="177">
        <f t="shared" si="69"/>
        <v>5.7329999999999988</v>
      </c>
      <c r="O101" s="178" t="str">
        <f t="shared" si="70"/>
        <v>X</v>
      </c>
      <c r="P101" s="176">
        <f t="shared" si="71"/>
        <v>13.377000000000001</v>
      </c>
      <c r="Q101" s="178" t="s">
        <v>0</v>
      </c>
      <c r="R101" s="176"/>
      <c r="S101" s="178" t="s">
        <v>2578</v>
      </c>
      <c r="T101" s="178" t="str">
        <f t="shared" si="72"/>
        <v>X</v>
      </c>
      <c r="U101" s="176">
        <f t="shared" si="84"/>
        <v>5.7329999999999988</v>
      </c>
      <c r="V101" s="178" t="str">
        <f t="shared" si="73"/>
        <v xml:space="preserve"> </v>
      </c>
      <c r="W101" s="176">
        <f t="shared" si="85"/>
        <v>0</v>
      </c>
      <c r="X101" s="178" t="str">
        <f t="shared" si="74"/>
        <v xml:space="preserve"> </v>
      </c>
      <c r="Y101" s="176">
        <f t="shared" si="86"/>
        <v>0</v>
      </c>
      <c r="Z101" s="178" t="s">
        <v>2581</v>
      </c>
      <c r="AA101" s="178" t="str">
        <f t="shared" si="75"/>
        <v>X</v>
      </c>
      <c r="AB101" s="176">
        <f t="shared" si="76"/>
        <v>2.12</v>
      </c>
      <c r="AC101" s="178" t="str">
        <f t="shared" si="77"/>
        <v xml:space="preserve"> </v>
      </c>
      <c r="AD101" s="176">
        <f t="shared" si="78"/>
        <v>0</v>
      </c>
      <c r="AE101" s="178" t="str">
        <f t="shared" si="79"/>
        <v xml:space="preserve"> </v>
      </c>
      <c r="AF101" s="176">
        <f t="shared" si="80"/>
        <v>0</v>
      </c>
      <c r="AG101" s="178" t="str">
        <f t="shared" si="81"/>
        <v/>
      </c>
      <c r="AH101" s="176">
        <f t="shared" si="82"/>
        <v>0</v>
      </c>
    </row>
    <row r="102" spans="2:34" ht="16.5" outlineLevel="1" x14ac:dyDescent="0.25">
      <c r="B102" s="175" t="s">
        <v>2662</v>
      </c>
      <c r="C102" s="176">
        <v>6.7</v>
      </c>
      <c r="D102" s="176">
        <v>10.47</v>
      </c>
      <c r="E102" s="194">
        <v>3</v>
      </c>
      <c r="F102" s="194">
        <v>0</v>
      </c>
      <c r="G102" s="194">
        <f t="shared" si="83"/>
        <v>3</v>
      </c>
      <c r="H102" s="176"/>
      <c r="I102" s="178" t="str">
        <f t="shared" si="64"/>
        <v>X</v>
      </c>
      <c r="J102" s="176">
        <f t="shared" si="65"/>
        <v>31.410000000000004</v>
      </c>
      <c r="K102" s="178" t="str">
        <f t="shared" si="66"/>
        <v xml:space="preserve"> </v>
      </c>
      <c r="L102" s="176">
        <f t="shared" si="87"/>
        <v>0</v>
      </c>
      <c r="M102" s="178" t="str">
        <f t="shared" si="68"/>
        <v>X</v>
      </c>
      <c r="N102" s="177">
        <f t="shared" si="69"/>
        <v>31.410000000000004</v>
      </c>
      <c r="O102" s="178" t="str">
        <f t="shared" si="70"/>
        <v xml:space="preserve"> </v>
      </c>
      <c r="P102" s="176">
        <f t="shared" si="71"/>
        <v>0</v>
      </c>
      <c r="Q102" s="178" t="s">
        <v>0</v>
      </c>
      <c r="R102" s="176"/>
      <c r="S102" s="178" t="s">
        <v>2578</v>
      </c>
      <c r="T102" s="178" t="str">
        <f t="shared" si="72"/>
        <v>X</v>
      </c>
      <c r="U102" s="176">
        <f t="shared" si="84"/>
        <v>31.410000000000004</v>
      </c>
      <c r="V102" s="178" t="str">
        <f t="shared" si="73"/>
        <v xml:space="preserve"> </v>
      </c>
      <c r="W102" s="176">
        <f t="shared" si="85"/>
        <v>0</v>
      </c>
      <c r="X102" s="178" t="str">
        <f t="shared" si="74"/>
        <v xml:space="preserve"> </v>
      </c>
      <c r="Y102" s="176">
        <f t="shared" si="86"/>
        <v>0</v>
      </c>
      <c r="Z102" s="178" t="s">
        <v>2581</v>
      </c>
      <c r="AA102" s="178" t="str">
        <f t="shared" si="75"/>
        <v>X</v>
      </c>
      <c r="AB102" s="176">
        <f t="shared" si="76"/>
        <v>6.7</v>
      </c>
      <c r="AC102" s="178" t="str">
        <f t="shared" si="77"/>
        <v xml:space="preserve"> </v>
      </c>
      <c r="AD102" s="176">
        <f t="shared" si="78"/>
        <v>0</v>
      </c>
      <c r="AE102" s="178" t="str">
        <f t="shared" si="79"/>
        <v xml:space="preserve"> </v>
      </c>
      <c r="AF102" s="176">
        <f t="shared" si="80"/>
        <v>0</v>
      </c>
      <c r="AG102" s="178" t="str">
        <f t="shared" si="81"/>
        <v>X</v>
      </c>
      <c r="AH102" s="176">
        <f t="shared" si="82"/>
        <v>10.47</v>
      </c>
    </row>
    <row r="103" spans="2:34" ht="16.5" outlineLevel="1" x14ac:dyDescent="0.25">
      <c r="B103" s="175" t="s">
        <v>2663</v>
      </c>
      <c r="C103" s="176">
        <v>6.65</v>
      </c>
      <c r="D103" s="176">
        <v>10.47</v>
      </c>
      <c r="E103" s="194">
        <v>3</v>
      </c>
      <c r="F103" s="194">
        <v>0</v>
      </c>
      <c r="G103" s="194">
        <f t="shared" si="83"/>
        <v>3</v>
      </c>
      <c r="H103" s="176"/>
      <c r="I103" s="178" t="str">
        <f t="shared" si="64"/>
        <v>X</v>
      </c>
      <c r="J103" s="176">
        <f t="shared" si="65"/>
        <v>31.410000000000004</v>
      </c>
      <c r="K103" s="178" t="str">
        <f t="shared" si="66"/>
        <v xml:space="preserve"> </v>
      </c>
      <c r="L103" s="176">
        <f t="shared" si="87"/>
        <v>0</v>
      </c>
      <c r="M103" s="178" t="str">
        <f t="shared" si="68"/>
        <v>X</v>
      </c>
      <c r="N103" s="177">
        <f t="shared" si="69"/>
        <v>31.410000000000004</v>
      </c>
      <c r="O103" s="178" t="str">
        <f t="shared" si="70"/>
        <v xml:space="preserve"> </v>
      </c>
      <c r="P103" s="176">
        <f t="shared" si="71"/>
        <v>0</v>
      </c>
      <c r="Q103" s="178" t="s">
        <v>0</v>
      </c>
      <c r="R103" s="176"/>
      <c r="S103" s="178" t="s">
        <v>2578</v>
      </c>
      <c r="T103" s="178" t="str">
        <f t="shared" si="72"/>
        <v>X</v>
      </c>
      <c r="U103" s="176">
        <f t="shared" si="84"/>
        <v>31.410000000000004</v>
      </c>
      <c r="V103" s="178" t="str">
        <f t="shared" si="73"/>
        <v xml:space="preserve"> </v>
      </c>
      <c r="W103" s="176">
        <f t="shared" si="85"/>
        <v>0</v>
      </c>
      <c r="X103" s="178" t="str">
        <f t="shared" si="74"/>
        <v xml:space="preserve"> </v>
      </c>
      <c r="Y103" s="176">
        <f t="shared" si="86"/>
        <v>0</v>
      </c>
      <c r="Z103" s="178" t="s">
        <v>2581</v>
      </c>
      <c r="AA103" s="178" t="str">
        <f t="shared" si="75"/>
        <v>X</v>
      </c>
      <c r="AB103" s="176">
        <f t="shared" si="76"/>
        <v>6.65</v>
      </c>
      <c r="AC103" s="178" t="str">
        <f t="shared" si="77"/>
        <v xml:space="preserve"> </v>
      </c>
      <c r="AD103" s="176">
        <f t="shared" si="78"/>
        <v>0</v>
      </c>
      <c r="AE103" s="178" t="str">
        <f t="shared" si="79"/>
        <v xml:space="preserve"> </v>
      </c>
      <c r="AF103" s="176">
        <f t="shared" si="80"/>
        <v>0</v>
      </c>
      <c r="AG103" s="178" t="str">
        <f t="shared" si="81"/>
        <v>X</v>
      </c>
      <c r="AH103" s="176">
        <f t="shared" si="82"/>
        <v>10.47</v>
      </c>
    </row>
    <row r="104" spans="2:34" ht="16.5" outlineLevel="1" x14ac:dyDescent="0.25">
      <c r="B104" s="175" t="s">
        <v>2664</v>
      </c>
      <c r="C104" s="176">
        <v>14.28</v>
      </c>
      <c r="D104" s="176">
        <v>15.43</v>
      </c>
      <c r="E104" s="194">
        <v>3</v>
      </c>
      <c r="F104" s="194">
        <v>0</v>
      </c>
      <c r="G104" s="194">
        <f t="shared" si="83"/>
        <v>3</v>
      </c>
      <c r="H104" s="176"/>
      <c r="I104" s="178" t="str">
        <f t="shared" si="64"/>
        <v>X</v>
      </c>
      <c r="J104" s="176">
        <f t="shared" si="65"/>
        <v>46.29</v>
      </c>
      <c r="K104" s="178" t="str">
        <f t="shared" si="66"/>
        <v xml:space="preserve"> </v>
      </c>
      <c r="L104" s="176">
        <f t="shared" si="87"/>
        <v>0</v>
      </c>
      <c r="M104" s="178" t="str">
        <f t="shared" si="68"/>
        <v>X</v>
      </c>
      <c r="N104" s="177">
        <f t="shared" si="69"/>
        <v>46.29</v>
      </c>
      <c r="O104" s="178" t="str">
        <f t="shared" si="70"/>
        <v xml:space="preserve"> </v>
      </c>
      <c r="P104" s="176">
        <f t="shared" si="71"/>
        <v>0</v>
      </c>
      <c r="Q104" s="178" t="s">
        <v>0</v>
      </c>
      <c r="R104" s="176"/>
      <c r="S104" s="178" t="s">
        <v>2578</v>
      </c>
      <c r="T104" s="178" t="str">
        <f t="shared" si="72"/>
        <v>X</v>
      </c>
      <c r="U104" s="176">
        <f t="shared" si="84"/>
        <v>46.29</v>
      </c>
      <c r="V104" s="178" t="str">
        <f t="shared" si="73"/>
        <v xml:space="preserve"> </v>
      </c>
      <c r="W104" s="176">
        <f t="shared" si="85"/>
        <v>0</v>
      </c>
      <c r="X104" s="178" t="str">
        <f t="shared" si="74"/>
        <v xml:space="preserve"> </v>
      </c>
      <c r="Y104" s="176">
        <f t="shared" si="86"/>
        <v>0</v>
      </c>
      <c r="Z104" s="178" t="s">
        <v>2582</v>
      </c>
      <c r="AA104" s="178" t="str">
        <f t="shared" si="75"/>
        <v xml:space="preserve"> </v>
      </c>
      <c r="AB104" s="176">
        <f t="shared" si="76"/>
        <v>0</v>
      </c>
      <c r="AC104" s="178" t="str">
        <f t="shared" si="77"/>
        <v>X</v>
      </c>
      <c r="AD104" s="176">
        <f t="shared" si="78"/>
        <v>14.28</v>
      </c>
      <c r="AE104" s="178" t="str">
        <f t="shared" si="79"/>
        <v xml:space="preserve"> </v>
      </c>
      <c r="AF104" s="176">
        <f t="shared" si="80"/>
        <v>0</v>
      </c>
      <c r="AG104" s="178" t="str">
        <f t="shared" si="81"/>
        <v>X</v>
      </c>
      <c r="AH104" s="176">
        <f t="shared" si="82"/>
        <v>15.43</v>
      </c>
    </row>
    <row r="105" spans="2:34" ht="16.5" outlineLevel="1" x14ac:dyDescent="0.25">
      <c r="B105" s="175" t="s">
        <v>2665</v>
      </c>
      <c r="C105" s="176">
        <v>3.15</v>
      </c>
      <c r="D105" s="176">
        <v>7.1</v>
      </c>
      <c r="E105" s="194">
        <v>3</v>
      </c>
      <c r="F105" s="194">
        <v>0</v>
      </c>
      <c r="G105" s="194">
        <f t="shared" si="83"/>
        <v>3</v>
      </c>
      <c r="H105" s="176"/>
      <c r="I105" s="178" t="str">
        <f t="shared" si="64"/>
        <v>X</v>
      </c>
      <c r="J105" s="176">
        <f t="shared" si="65"/>
        <v>21.299999999999997</v>
      </c>
      <c r="K105" s="178" t="str">
        <f t="shared" si="66"/>
        <v xml:space="preserve"> </v>
      </c>
      <c r="L105" s="176">
        <f t="shared" si="87"/>
        <v>0</v>
      </c>
      <c r="M105" s="178" t="str">
        <f t="shared" si="68"/>
        <v>X</v>
      </c>
      <c r="N105" s="177">
        <f t="shared" si="69"/>
        <v>21.299999999999997</v>
      </c>
      <c r="O105" s="178" t="str">
        <f t="shared" si="70"/>
        <v xml:space="preserve"> </v>
      </c>
      <c r="P105" s="176">
        <f t="shared" si="71"/>
        <v>0</v>
      </c>
      <c r="Q105" s="178" t="s">
        <v>0</v>
      </c>
      <c r="R105" s="176"/>
      <c r="S105" s="178" t="s">
        <v>2578</v>
      </c>
      <c r="T105" s="178" t="str">
        <f t="shared" si="72"/>
        <v>X</v>
      </c>
      <c r="U105" s="176">
        <f t="shared" si="84"/>
        <v>21.299999999999997</v>
      </c>
      <c r="V105" s="178" t="str">
        <f t="shared" si="73"/>
        <v xml:space="preserve"> </v>
      </c>
      <c r="W105" s="176">
        <f t="shared" si="85"/>
        <v>0</v>
      </c>
      <c r="X105" s="178" t="str">
        <f t="shared" si="74"/>
        <v xml:space="preserve"> </v>
      </c>
      <c r="Y105" s="176">
        <f t="shared" si="86"/>
        <v>0</v>
      </c>
      <c r="Z105" s="178" t="s">
        <v>2581</v>
      </c>
      <c r="AA105" s="178" t="str">
        <f t="shared" si="75"/>
        <v>X</v>
      </c>
      <c r="AB105" s="176">
        <f t="shared" si="76"/>
        <v>3.15</v>
      </c>
      <c r="AC105" s="178" t="str">
        <f t="shared" si="77"/>
        <v xml:space="preserve"> </v>
      </c>
      <c r="AD105" s="176">
        <f t="shared" si="78"/>
        <v>0</v>
      </c>
      <c r="AE105" s="178" t="str">
        <f t="shared" si="79"/>
        <v xml:space="preserve"> </v>
      </c>
      <c r="AF105" s="176">
        <f t="shared" si="80"/>
        <v>0</v>
      </c>
      <c r="AG105" s="178" t="str">
        <f t="shared" si="81"/>
        <v>X</v>
      </c>
      <c r="AH105" s="176">
        <f t="shared" si="82"/>
        <v>7.1</v>
      </c>
    </row>
    <row r="106" spans="2:34" ht="16.5" outlineLevel="1" x14ac:dyDescent="0.25">
      <c r="B106" s="175" t="s">
        <v>2666</v>
      </c>
      <c r="C106" s="176">
        <v>4.1100000000000003</v>
      </c>
      <c r="D106" s="176">
        <v>8.7100000000000009</v>
      </c>
      <c r="E106" s="194">
        <v>3</v>
      </c>
      <c r="F106" s="194">
        <v>2.1</v>
      </c>
      <c r="G106" s="194">
        <f t="shared" si="83"/>
        <v>0.89999999999999991</v>
      </c>
      <c r="H106" s="176"/>
      <c r="I106" s="178" t="str">
        <f t="shared" si="64"/>
        <v>X</v>
      </c>
      <c r="J106" s="176">
        <f t="shared" si="65"/>
        <v>26.130000000000003</v>
      </c>
      <c r="K106" s="178" t="str">
        <f t="shared" si="66"/>
        <v>X</v>
      </c>
      <c r="L106" s="176">
        <f t="shared" si="87"/>
        <v>18.291000000000004</v>
      </c>
      <c r="M106" s="178" t="str">
        <f t="shared" si="68"/>
        <v>X</v>
      </c>
      <c r="N106" s="177">
        <f t="shared" si="69"/>
        <v>7.8389999999999986</v>
      </c>
      <c r="O106" s="178" t="str">
        <f t="shared" si="70"/>
        <v>X</v>
      </c>
      <c r="P106" s="176">
        <f t="shared" si="71"/>
        <v>18.291000000000004</v>
      </c>
      <c r="Q106" s="178" t="s">
        <v>0</v>
      </c>
      <c r="R106" s="176"/>
      <c r="S106" s="178" t="s">
        <v>2578</v>
      </c>
      <c r="T106" s="178" t="str">
        <f t="shared" si="72"/>
        <v>X</v>
      </c>
      <c r="U106" s="176">
        <f t="shared" si="84"/>
        <v>7.8389999999999986</v>
      </c>
      <c r="V106" s="178" t="str">
        <f t="shared" si="73"/>
        <v xml:space="preserve"> </v>
      </c>
      <c r="W106" s="176">
        <f t="shared" si="85"/>
        <v>0</v>
      </c>
      <c r="X106" s="178" t="str">
        <f t="shared" si="74"/>
        <v xml:space="preserve"> </v>
      </c>
      <c r="Y106" s="176">
        <f t="shared" si="86"/>
        <v>0</v>
      </c>
      <c r="Z106" s="178" t="s">
        <v>2581</v>
      </c>
      <c r="AA106" s="178" t="str">
        <f t="shared" si="75"/>
        <v>X</v>
      </c>
      <c r="AB106" s="176">
        <f t="shared" si="76"/>
        <v>4.1100000000000003</v>
      </c>
      <c r="AC106" s="178" t="str">
        <f t="shared" si="77"/>
        <v xml:space="preserve"> </v>
      </c>
      <c r="AD106" s="176">
        <f t="shared" si="78"/>
        <v>0</v>
      </c>
      <c r="AE106" s="178" t="str">
        <f t="shared" si="79"/>
        <v xml:space="preserve"> </v>
      </c>
      <c r="AF106" s="176">
        <f t="shared" si="80"/>
        <v>0</v>
      </c>
      <c r="AG106" s="178" t="str">
        <f t="shared" si="81"/>
        <v/>
      </c>
      <c r="AH106" s="176">
        <f t="shared" si="82"/>
        <v>0</v>
      </c>
    </row>
    <row r="107" spans="2:34" ht="16.5" outlineLevel="1" x14ac:dyDescent="0.25">
      <c r="B107" s="175" t="s">
        <v>2667</v>
      </c>
      <c r="C107" s="176">
        <v>27.96</v>
      </c>
      <c r="D107" s="176">
        <v>22</v>
      </c>
      <c r="E107" s="194">
        <v>3</v>
      </c>
      <c r="F107" s="194">
        <v>0</v>
      </c>
      <c r="G107" s="194">
        <f t="shared" si="83"/>
        <v>3</v>
      </c>
      <c r="H107" s="176"/>
      <c r="I107" s="178" t="str">
        <f t="shared" si="64"/>
        <v>X</v>
      </c>
      <c r="J107" s="176">
        <f t="shared" ref="J107:J124" si="88">IF(I107="X",($D107-H107)*E107,0)</f>
        <v>66</v>
      </c>
      <c r="K107" s="178" t="str">
        <f t="shared" si="66"/>
        <v xml:space="preserve"> </v>
      </c>
      <c r="L107" s="176">
        <f t="shared" ref="L107:L124" si="89">IF(K107="X",($D107-H107)*F107,0)</f>
        <v>0</v>
      </c>
      <c r="M107" s="178" t="str">
        <f t="shared" si="68"/>
        <v>X</v>
      </c>
      <c r="N107" s="177">
        <f t="shared" ref="N107:N124" si="90">IF(M107="X",J107-L107,0)</f>
        <v>66</v>
      </c>
      <c r="O107" s="178" t="str">
        <f t="shared" si="70"/>
        <v xml:space="preserve"> </v>
      </c>
      <c r="P107" s="176">
        <f t="shared" ref="P107:P124" si="91">IF(L107&gt;0,L107,0)</f>
        <v>0</v>
      </c>
      <c r="Q107" s="178" t="s">
        <v>0</v>
      </c>
      <c r="R107" s="176">
        <v>1</v>
      </c>
      <c r="S107" s="178" t="s">
        <v>2578</v>
      </c>
      <c r="T107" s="178" t="str">
        <f t="shared" si="72"/>
        <v>X</v>
      </c>
      <c r="U107" s="176">
        <f t="shared" si="84"/>
        <v>66</v>
      </c>
      <c r="V107" s="178" t="str">
        <f t="shared" si="73"/>
        <v xml:space="preserve"> </v>
      </c>
      <c r="W107" s="176">
        <f t="shared" si="85"/>
        <v>0</v>
      </c>
      <c r="X107" s="178" t="str">
        <f t="shared" si="74"/>
        <v xml:space="preserve"> </v>
      </c>
      <c r="Y107" s="176">
        <f t="shared" si="86"/>
        <v>0</v>
      </c>
      <c r="Z107" s="178" t="s">
        <v>2581</v>
      </c>
      <c r="AA107" s="178" t="str">
        <f t="shared" si="75"/>
        <v>X</v>
      </c>
      <c r="AB107" s="176">
        <f t="shared" si="76"/>
        <v>27.96</v>
      </c>
      <c r="AC107" s="178" t="str">
        <f t="shared" si="77"/>
        <v xml:space="preserve"> </v>
      </c>
      <c r="AD107" s="176">
        <f t="shared" si="78"/>
        <v>0</v>
      </c>
      <c r="AE107" s="178" t="str">
        <f t="shared" si="79"/>
        <v xml:space="preserve"> </v>
      </c>
      <c r="AF107" s="176">
        <f t="shared" si="80"/>
        <v>0</v>
      </c>
      <c r="AG107" s="178" t="str">
        <f t="shared" si="81"/>
        <v>X</v>
      </c>
      <c r="AH107" s="176">
        <f t="shared" si="82"/>
        <v>22</v>
      </c>
    </row>
    <row r="108" spans="2:34" ht="16.5" outlineLevel="1" x14ac:dyDescent="0.25">
      <c r="B108" s="175" t="s">
        <v>2668</v>
      </c>
      <c r="C108" s="176">
        <v>5.12</v>
      </c>
      <c r="D108" s="176">
        <v>9.9600000000000009</v>
      </c>
      <c r="E108" s="194">
        <v>3</v>
      </c>
      <c r="F108" s="194">
        <v>2.1</v>
      </c>
      <c r="G108" s="194">
        <f t="shared" si="83"/>
        <v>0.89999999999999991</v>
      </c>
      <c r="H108" s="176"/>
      <c r="I108" s="178" t="str">
        <f t="shared" si="64"/>
        <v>X</v>
      </c>
      <c r="J108" s="176">
        <f t="shared" si="88"/>
        <v>29.880000000000003</v>
      </c>
      <c r="K108" s="178" t="str">
        <f t="shared" si="66"/>
        <v>X</v>
      </c>
      <c r="L108" s="176">
        <f t="shared" si="89"/>
        <v>20.916000000000004</v>
      </c>
      <c r="M108" s="178" t="str">
        <f t="shared" si="68"/>
        <v>X</v>
      </c>
      <c r="N108" s="177">
        <f t="shared" si="90"/>
        <v>8.9639999999999986</v>
      </c>
      <c r="O108" s="178" t="str">
        <f t="shared" si="70"/>
        <v>X</v>
      </c>
      <c r="P108" s="176">
        <f t="shared" si="91"/>
        <v>20.916000000000004</v>
      </c>
      <c r="Q108" s="178" t="s">
        <v>0</v>
      </c>
      <c r="R108" s="176"/>
      <c r="S108" s="178" t="s">
        <v>2578</v>
      </c>
      <c r="T108" s="178" t="str">
        <f t="shared" si="72"/>
        <v>X</v>
      </c>
      <c r="U108" s="176">
        <f t="shared" si="84"/>
        <v>8.9639999999999986</v>
      </c>
      <c r="V108" s="178" t="str">
        <f t="shared" si="73"/>
        <v xml:space="preserve"> </v>
      </c>
      <c r="W108" s="176">
        <f t="shared" si="85"/>
        <v>0</v>
      </c>
      <c r="X108" s="178" t="str">
        <f t="shared" si="74"/>
        <v xml:space="preserve"> </v>
      </c>
      <c r="Y108" s="176">
        <f t="shared" si="86"/>
        <v>0</v>
      </c>
      <c r="Z108" s="178" t="s">
        <v>2581</v>
      </c>
      <c r="AA108" s="178" t="str">
        <f t="shared" si="75"/>
        <v>X</v>
      </c>
      <c r="AB108" s="176">
        <f t="shared" si="76"/>
        <v>5.12</v>
      </c>
      <c r="AC108" s="178" t="str">
        <f t="shared" si="77"/>
        <v xml:space="preserve"> </v>
      </c>
      <c r="AD108" s="176">
        <f t="shared" si="78"/>
        <v>0</v>
      </c>
      <c r="AE108" s="178" t="str">
        <f t="shared" si="79"/>
        <v xml:space="preserve"> </v>
      </c>
      <c r="AF108" s="176">
        <f t="shared" si="80"/>
        <v>0</v>
      </c>
      <c r="AG108" s="178" t="str">
        <f t="shared" si="81"/>
        <v/>
      </c>
      <c r="AH108" s="176">
        <f t="shared" si="82"/>
        <v>0</v>
      </c>
    </row>
    <row r="109" spans="2:34" ht="16.5" outlineLevel="1" x14ac:dyDescent="0.25">
      <c r="B109" s="175" t="s">
        <v>2591</v>
      </c>
      <c r="C109" s="176">
        <v>2.99</v>
      </c>
      <c r="D109" s="176">
        <v>6.93</v>
      </c>
      <c r="E109" s="194">
        <v>3</v>
      </c>
      <c r="F109" s="194">
        <v>2.1</v>
      </c>
      <c r="G109" s="194">
        <f t="shared" si="83"/>
        <v>0.89999999999999991</v>
      </c>
      <c r="H109" s="176"/>
      <c r="I109" s="178" t="str">
        <f t="shared" si="64"/>
        <v>X</v>
      </c>
      <c r="J109" s="176">
        <f t="shared" si="88"/>
        <v>20.79</v>
      </c>
      <c r="K109" s="178" t="str">
        <f t="shared" si="66"/>
        <v>X</v>
      </c>
      <c r="L109" s="176">
        <f t="shared" si="89"/>
        <v>14.553000000000001</v>
      </c>
      <c r="M109" s="178" t="str">
        <f t="shared" si="68"/>
        <v>X</v>
      </c>
      <c r="N109" s="177">
        <f t="shared" si="90"/>
        <v>6.2369999999999983</v>
      </c>
      <c r="O109" s="178" t="str">
        <f t="shared" si="70"/>
        <v>X</v>
      </c>
      <c r="P109" s="176">
        <f t="shared" si="91"/>
        <v>14.553000000000001</v>
      </c>
      <c r="Q109" s="178" t="s">
        <v>0</v>
      </c>
      <c r="R109" s="176"/>
      <c r="S109" s="178" t="s">
        <v>2578</v>
      </c>
      <c r="T109" s="178" t="str">
        <f t="shared" si="72"/>
        <v>X</v>
      </c>
      <c r="U109" s="176">
        <f t="shared" si="84"/>
        <v>6.2369999999999983</v>
      </c>
      <c r="V109" s="178" t="str">
        <f t="shared" si="73"/>
        <v xml:space="preserve"> </v>
      </c>
      <c r="W109" s="176">
        <f t="shared" si="85"/>
        <v>0</v>
      </c>
      <c r="X109" s="178" t="str">
        <f t="shared" si="74"/>
        <v xml:space="preserve"> </v>
      </c>
      <c r="Y109" s="176">
        <f t="shared" si="86"/>
        <v>0</v>
      </c>
      <c r="Z109" s="178" t="s">
        <v>2581</v>
      </c>
      <c r="AA109" s="178" t="str">
        <f t="shared" si="75"/>
        <v>X</v>
      </c>
      <c r="AB109" s="176">
        <f t="shared" si="76"/>
        <v>2.99</v>
      </c>
      <c r="AC109" s="178" t="str">
        <f t="shared" si="77"/>
        <v xml:space="preserve"> </v>
      </c>
      <c r="AD109" s="176">
        <f t="shared" si="78"/>
        <v>0</v>
      </c>
      <c r="AE109" s="178" t="str">
        <f t="shared" si="79"/>
        <v xml:space="preserve"> </v>
      </c>
      <c r="AF109" s="176">
        <f t="shared" si="80"/>
        <v>0</v>
      </c>
      <c r="AG109" s="178" t="str">
        <f t="shared" si="81"/>
        <v/>
      </c>
      <c r="AH109" s="176">
        <f t="shared" si="82"/>
        <v>0</v>
      </c>
    </row>
    <row r="110" spans="2:34" ht="16.5" outlineLevel="1" x14ac:dyDescent="0.25">
      <c r="B110" s="175" t="s">
        <v>2666</v>
      </c>
      <c r="C110" s="176">
        <v>4.3099999999999996</v>
      </c>
      <c r="D110" s="176">
        <v>8.59</v>
      </c>
      <c r="E110" s="194">
        <v>3</v>
      </c>
      <c r="F110" s="194">
        <v>2.1</v>
      </c>
      <c r="G110" s="194">
        <f t="shared" si="83"/>
        <v>0.89999999999999991</v>
      </c>
      <c r="H110" s="176"/>
      <c r="I110" s="178" t="str">
        <f t="shared" si="64"/>
        <v>X</v>
      </c>
      <c r="J110" s="176">
        <f t="shared" si="88"/>
        <v>25.77</v>
      </c>
      <c r="K110" s="178" t="str">
        <f t="shared" si="66"/>
        <v>X</v>
      </c>
      <c r="L110" s="176">
        <f t="shared" si="89"/>
        <v>18.039000000000001</v>
      </c>
      <c r="M110" s="178" t="str">
        <f t="shared" si="68"/>
        <v>X</v>
      </c>
      <c r="N110" s="177">
        <f t="shared" si="90"/>
        <v>7.7309999999999981</v>
      </c>
      <c r="O110" s="178" t="str">
        <f t="shared" si="70"/>
        <v>X</v>
      </c>
      <c r="P110" s="176">
        <f t="shared" si="91"/>
        <v>18.039000000000001</v>
      </c>
      <c r="Q110" s="178" t="s">
        <v>0</v>
      </c>
      <c r="R110" s="176"/>
      <c r="S110" s="178" t="s">
        <v>2578</v>
      </c>
      <c r="T110" s="178" t="str">
        <f t="shared" si="72"/>
        <v>X</v>
      </c>
      <c r="U110" s="176">
        <f t="shared" si="84"/>
        <v>7.7309999999999981</v>
      </c>
      <c r="V110" s="178" t="str">
        <f t="shared" si="73"/>
        <v xml:space="preserve"> </v>
      </c>
      <c r="W110" s="176">
        <f t="shared" si="85"/>
        <v>0</v>
      </c>
      <c r="X110" s="178" t="str">
        <f t="shared" si="74"/>
        <v xml:space="preserve"> </v>
      </c>
      <c r="Y110" s="176">
        <f t="shared" si="86"/>
        <v>0</v>
      </c>
      <c r="Z110" s="178" t="s">
        <v>2581</v>
      </c>
      <c r="AA110" s="178" t="str">
        <f t="shared" si="75"/>
        <v>X</v>
      </c>
      <c r="AB110" s="176">
        <f t="shared" si="76"/>
        <v>4.3099999999999996</v>
      </c>
      <c r="AC110" s="178" t="str">
        <f t="shared" si="77"/>
        <v xml:space="preserve"> </v>
      </c>
      <c r="AD110" s="176">
        <f t="shared" si="78"/>
        <v>0</v>
      </c>
      <c r="AE110" s="178" t="str">
        <f t="shared" si="79"/>
        <v xml:space="preserve"> </v>
      </c>
      <c r="AF110" s="176">
        <f t="shared" si="80"/>
        <v>0</v>
      </c>
      <c r="AG110" s="178" t="str">
        <f t="shared" si="81"/>
        <v/>
      </c>
      <c r="AH110" s="176">
        <f t="shared" si="82"/>
        <v>0</v>
      </c>
    </row>
    <row r="111" spans="2:34" ht="16.5" outlineLevel="1" x14ac:dyDescent="0.25">
      <c r="B111" s="175" t="s">
        <v>2664</v>
      </c>
      <c r="C111" s="176">
        <v>13.16</v>
      </c>
      <c r="D111" s="176">
        <v>14.93</v>
      </c>
      <c r="E111" s="194">
        <v>3</v>
      </c>
      <c r="F111" s="194">
        <v>0</v>
      </c>
      <c r="G111" s="194">
        <f t="shared" si="83"/>
        <v>3</v>
      </c>
      <c r="H111" s="176"/>
      <c r="I111" s="178" t="str">
        <f t="shared" si="64"/>
        <v>X</v>
      </c>
      <c r="J111" s="176">
        <f t="shared" si="88"/>
        <v>44.79</v>
      </c>
      <c r="K111" s="178" t="str">
        <f t="shared" si="66"/>
        <v xml:space="preserve"> </v>
      </c>
      <c r="L111" s="176">
        <f t="shared" si="89"/>
        <v>0</v>
      </c>
      <c r="M111" s="178" t="str">
        <f t="shared" si="68"/>
        <v>X</v>
      </c>
      <c r="N111" s="177">
        <f t="shared" si="90"/>
        <v>44.79</v>
      </c>
      <c r="O111" s="178" t="str">
        <f t="shared" si="70"/>
        <v xml:space="preserve"> </v>
      </c>
      <c r="P111" s="176">
        <v>1</v>
      </c>
      <c r="Q111" s="178" t="s">
        <v>0</v>
      </c>
      <c r="R111" s="176"/>
      <c r="S111" s="178" t="s">
        <v>2578</v>
      </c>
      <c r="T111" s="178" t="str">
        <f t="shared" si="72"/>
        <v>X</v>
      </c>
      <c r="U111" s="176">
        <f t="shared" si="84"/>
        <v>44.79</v>
      </c>
      <c r="V111" s="178" t="str">
        <f t="shared" si="73"/>
        <v xml:space="preserve"> </v>
      </c>
      <c r="W111" s="176">
        <f t="shared" si="85"/>
        <v>0</v>
      </c>
      <c r="X111" s="178" t="str">
        <f t="shared" si="74"/>
        <v xml:space="preserve"> </v>
      </c>
      <c r="Y111" s="176">
        <f t="shared" si="86"/>
        <v>0</v>
      </c>
      <c r="Z111" s="178" t="s">
        <v>2581</v>
      </c>
      <c r="AA111" s="178" t="str">
        <f t="shared" si="75"/>
        <v>X</v>
      </c>
      <c r="AB111" s="176">
        <f t="shared" si="76"/>
        <v>13.16</v>
      </c>
      <c r="AC111" s="178" t="str">
        <f t="shared" si="77"/>
        <v xml:space="preserve"> </v>
      </c>
      <c r="AD111" s="176">
        <f t="shared" si="78"/>
        <v>0</v>
      </c>
      <c r="AE111" s="178" t="str">
        <f t="shared" si="79"/>
        <v xml:space="preserve"> </v>
      </c>
      <c r="AF111" s="176">
        <f t="shared" si="80"/>
        <v>0</v>
      </c>
      <c r="AG111" s="178" t="str">
        <f t="shared" si="81"/>
        <v>X</v>
      </c>
      <c r="AH111" s="176">
        <f t="shared" si="82"/>
        <v>14.93</v>
      </c>
    </row>
    <row r="112" spans="2:34" ht="16.5" outlineLevel="1" x14ac:dyDescent="0.25">
      <c r="B112" s="175" t="s">
        <v>2669</v>
      </c>
      <c r="C112" s="176">
        <v>6.85</v>
      </c>
      <c r="D112" s="176">
        <v>11.95</v>
      </c>
      <c r="E112" s="194">
        <v>3</v>
      </c>
      <c r="F112" s="194">
        <v>0</v>
      </c>
      <c r="G112" s="194">
        <f t="shared" si="83"/>
        <v>3</v>
      </c>
      <c r="H112" s="176"/>
      <c r="I112" s="178" t="str">
        <f t="shared" si="64"/>
        <v>X</v>
      </c>
      <c r="J112" s="176">
        <f t="shared" si="88"/>
        <v>35.849999999999994</v>
      </c>
      <c r="K112" s="178" t="str">
        <f t="shared" si="66"/>
        <v xml:space="preserve"> </v>
      </c>
      <c r="L112" s="176">
        <f t="shared" si="89"/>
        <v>0</v>
      </c>
      <c r="M112" s="178" t="str">
        <f t="shared" si="68"/>
        <v>X</v>
      </c>
      <c r="N112" s="177">
        <f t="shared" si="90"/>
        <v>35.849999999999994</v>
      </c>
      <c r="O112" s="178" t="str">
        <f t="shared" si="70"/>
        <v xml:space="preserve"> </v>
      </c>
      <c r="P112" s="176">
        <f t="shared" si="91"/>
        <v>0</v>
      </c>
      <c r="Q112" s="178" t="s">
        <v>0</v>
      </c>
      <c r="R112" s="176"/>
      <c r="S112" s="178" t="s">
        <v>2578</v>
      </c>
      <c r="T112" s="178" t="str">
        <f t="shared" si="72"/>
        <v>X</v>
      </c>
      <c r="U112" s="176">
        <f t="shared" si="84"/>
        <v>35.849999999999994</v>
      </c>
      <c r="V112" s="178" t="str">
        <f t="shared" si="73"/>
        <v xml:space="preserve"> </v>
      </c>
      <c r="W112" s="176">
        <f t="shared" si="85"/>
        <v>0</v>
      </c>
      <c r="X112" s="178" t="str">
        <f t="shared" si="74"/>
        <v xml:space="preserve"> </v>
      </c>
      <c r="Y112" s="176">
        <f t="shared" si="86"/>
        <v>0</v>
      </c>
      <c r="Z112" s="178" t="s">
        <v>2581</v>
      </c>
      <c r="AA112" s="178" t="str">
        <f t="shared" si="75"/>
        <v>X</v>
      </c>
      <c r="AB112" s="176">
        <f t="shared" si="76"/>
        <v>6.85</v>
      </c>
      <c r="AC112" s="178" t="str">
        <f t="shared" si="77"/>
        <v xml:space="preserve"> </v>
      </c>
      <c r="AD112" s="176">
        <f t="shared" si="78"/>
        <v>0</v>
      </c>
      <c r="AE112" s="178" t="str">
        <f t="shared" si="79"/>
        <v xml:space="preserve"> </v>
      </c>
      <c r="AF112" s="176">
        <f t="shared" si="80"/>
        <v>0</v>
      </c>
      <c r="AG112" s="178" t="str">
        <f t="shared" si="81"/>
        <v>X</v>
      </c>
      <c r="AH112" s="176">
        <f t="shared" si="82"/>
        <v>11.95</v>
      </c>
    </row>
    <row r="113" spans="2:34" ht="16.5" outlineLevel="1" x14ac:dyDescent="0.25">
      <c r="B113" s="175" t="s">
        <v>2670</v>
      </c>
      <c r="C113" s="176">
        <v>10.24</v>
      </c>
      <c r="D113" s="176">
        <v>17.75</v>
      </c>
      <c r="E113" s="194">
        <v>3</v>
      </c>
      <c r="F113" s="194">
        <v>0</v>
      </c>
      <c r="G113" s="194">
        <f t="shared" si="83"/>
        <v>3</v>
      </c>
      <c r="H113" s="176"/>
      <c r="I113" s="178" t="str">
        <f t="shared" si="64"/>
        <v>X</v>
      </c>
      <c r="J113" s="176">
        <f t="shared" si="88"/>
        <v>53.25</v>
      </c>
      <c r="K113" s="178" t="str">
        <f t="shared" si="66"/>
        <v xml:space="preserve"> </v>
      </c>
      <c r="L113" s="176">
        <f t="shared" si="89"/>
        <v>0</v>
      </c>
      <c r="M113" s="178" t="str">
        <f t="shared" si="68"/>
        <v>X</v>
      </c>
      <c r="N113" s="177">
        <f t="shared" si="90"/>
        <v>53.25</v>
      </c>
      <c r="O113" s="178" t="str">
        <f t="shared" si="70"/>
        <v xml:space="preserve"> </v>
      </c>
      <c r="P113" s="176">
        <f t="shared" si="91"/>
        <v>0</v>
      </c>
      <c r="Q113" s="178" t="s">
        <v>0</v>
      </c>
      <c r="R113" s="176"/>
      <c r="S113" s="178" t="s">
        <v>2580</v>
      </c>
      <c r="T113" s="178" t="str">
        <f t="shared" si="72"/>
        <v xml:space="preserve"> </v>
      </c>
      <c r="U113" s="176">
        <f t="shared" si="84"/>
        <v>0</v>
      </c>
      <c r="V113" s="178" t="str">
        <f t="shared" si="73"/>
        <v xml:space="preserve"> </v>
      </c>
      <c r="W113" s="176">
        <f t="shared" si="85"/>
        <v>0</v>
      </c>
      <c r="X113" s="178" t="str">
        <f t="shared" si="74"/>
        <v>X</v>
      </c>
      <c r="Y113" s="176">
        <f t="shared" si="86"/>
        <v>53.25</v>
      </c>
      <c r="Z113" s="178" t="s">
        <v>2581</v>
      </c>
      <c r="AA113" s="178" t="str">
        <f t="shared" si="75"/>
        <v>X</v>
      </c>
      <c r="AB113" s="176">
        <f t="shared" si="76"/>
        <v>10.24</v>
      </c>
      <c r="AC113" s="178" t="str">
        <f t="shared" si="77"/>
        <v xml:space="preserve"> </v>
      </c>
      <c r="AD113" s="176">
        <f t="shared" si="78"/>
        <v>0</v>
      </c>
      <c r="AE113" s="178" t="str">
        <f t="shared" si="79"/>
        <v xml:space="preserve"> </v>
      </c>
      <c r="AF113" s="176">
        <f t="shared" si="80"/>
        <v>0</v>
      </c>
      <c r="AG113" s="178" t="str">
        <f t="shared" si="81"/>
        <v>X</v>
      </c>
      <c r="AH113" s="176">
        <f t="shared" si="82"/>
        <v>17.75</v>
      </c>
    </row>
    <row r="114" spans="2:34" ht="16.5" outlineLevel="1" x14ac:dyDescent="0.25">
      <c r="B114" s="175" t="s">
        <v>2671</v>
      </c>
      <c r="C114" s="176">
        <v>30.01</v>
      </c>
      <c r="D114" s="176">
        <v>31.35</v>
      </c>
      <c r="E114" s="194">
        <v>3</v>
      </c>
      <c r="F114" s="194">
        <v>0</v>
      </c>
      <c r="G114" s="194">
        <f t="shared" si="83"/>
        <v>3</v>
      </c>
      <c r="H114" s="176">
        <f>2.23*2</f>
        <v>4.46</v>
      </c>
      <c r="I114" s="178" t="str">
        <f t="shared" si="64"/>
        <v>X</v>
      </c>
      <c r="J114" s="176">
        <f t="shared" si="88"/>
        <v>80.67</v>
      </c>
      <c r="K114" s="178" t="str">
        <f t="shared" si="66"/>
        <v xml:space="preserve"> </v>
      </c>
      <c r="L114" s="176">
        <f t="shared" si="89"/>
        <v>0</v>
      </c>
      <c r="M114" s="178" t="str">
        <f t="shared" si="68"/>
        <v>X</v>
      </c>
      <c r="N114" s="177">
        <f t="shared" si="90"/>
        <v>80.67</v>
      </c>
      <c r="O114" s="178" t="str">
        <f t="shared" si="70"/>
        <v xml:space="preserve"> </v>
      </c>
      <c r="P114" s="176">
        <f t="shared" si="91"/>
        <v>0</v>
      </c>
      <c r="Q114" s="178" t="s">
        <v>0</v>
      </c>
      <c r="R114" s="176"/>
      <c r="S114" s="178" t="s">
        <v>2578</v>
      </c>
      <c r="T114" s="178" t="str">
        <f t="shared" si="72"/>
        <v>X</v>
      </c>
      <c r="U114" s="176">
        <f t="shared" si="84"/>
        <v>80.67</v>
      </c>
      <c r="V114" s="178" t="str">
        <f t="shared" si="73"/>
        <v xml:space="preserve"> </v>
      </c>
      <c r="W114" s="176">
        <f t="shared" si="85"/>
        <v>0</v>
      </c>
      <c r="X114" s="178" t="str">
        <f t="shared" si="74"/>
        <v xml:space="preserve"> </v>
      </c>
      <c r="Y114" s="176">
        <f t="shared" si="86"/>
        <v>0</v>
      </c>
      <c r="Z114" s="178" t="s">
        <v>2582</v>
      </c>
      <c r="AA114" s="178" t="str">
        <f t="shared" si="75"/>
        <v xml:space="preserve"> </v>
      </c>
      <c r="AB114" s="176">
        <f t="shared" si="76"/>
        <v>0</v>
      </c>
      <c r="AC114" s="178" t="str">
        <f t="shared" si="77"/>
        <v>X</v>
      </c>
      <c r="AD114" s="176">
        <f t="shared" si="78"/>
        <v>30.01</v>
      </c>
      <c r="AE114" s="178" t="str">
        <f t="shared" si="79"/>
        <v xml:space="preserve"> </v>
      </c>
      <c r="AF114" s="176">
        <f t="shared" si="80"/>
        <v>0</v>
      </c>
      <c r="AG114" s="178" t="str">
        <f t="shared" si="81"/>
        <v>X</v>
      </c>
      <c r="AH114" s="176">
        <f t="shared" si="82"/>
        <v>26.89</v>
      </c>
    </row>
    <row r="115" spans="2:34" ht="16.5" outlineLevel="1" x14ac:dyDescent="0.25">
      <c r="B115" s="175" t="s">
        <v>2672</v>
      </c>
      <c r="C115" s="176">
        <v>61.5</v>
      </c>
      <c r="D115" s="176">
        <v>60.31</v>
      </c>
      <c r="E115" s="194">
        <v>3</v>
      </c>
      <c r="F115" s="194">
        <v>0</v>
      </c>
      <c r="G115" s="194">
        <f t="shared" si="83"/>
        <v>3</v>
      </c>
      <c r="H115" s="176"/>
      <c r="I115" s="178" t="str">
        <f t="shared" si="64"/>
        <v>X</v>
      </c>
      <c r="J115" s="176">
        <f t="shared" si="88"/>
        <v>180.93</v>
      </c>
      <c r="K115" s="178" t="str">
        <f t="shared" si="66"/>
        <v xml:space="preserve"> </v>
      </c>
      <c r="L115" s="176">
        <f t="shared" si="89"/>
        <v>0</v>
      </c>
      <c r="M115" s="178" t="str">
        <f t="shared" si="68"/>
        <v>X</v>
      </c>
      <c r="N115" s="177">
        <f t="shared" si="90"/>
        <v>180.93</v>
      </c>
      <c r="O115" s="178" t="str">
        <f t="shared" si="70"/>
        <v xml:space="preserve"> </v>
      </c>
      <c r="P115" s="176">
        <f t="shared" si="91"/>
        <v>0</v>
      </c>
      <c r="Q115" s="178" t="s">
        <v>0</v>
      </c>
      <c r="R115" s="176"/>
      <c r="S115" s="178" t="s">
        <v>2578</v>
      </c>
      <c r="T115" s="178" t="str">
        <f t="shared" si="72"/>
        <v>X</v>
      </c>
      <c r="U115" s="176">
        <f t="shared" si="84"/>
        <v>180.93</v>
      </c>
      <c r="V115" s="178" t="str">
        <f t="shared" si="73"/>
        <v xml:space="preserve"> </v>
      </c>
      <c r="W115" s="176">
        <f t="shared" si="85"/>
        <v>0</v>
      </c>
      <c r="X115" s="178" t="str">
        <f t="shared" si="74"/>
        <v xml:space="preserve"> </v>
      </c>
      <c r="Y115" s="176">
        <f t="shared" si="86"/>
        <v>0</v>
      </c>
      <c r="Z115" s="178" t="s">
        <v>2582</v>
      </c>
      <c r="AA115" s="178" t="str">
        <f t="shared" si="75"/>
        <v xml:space="preserve"> </v>
      </c>
      <c r="AB115" s="176">
        <f t="shared" si="76"/>
        <v>0</v>
      </c>
      <c r="AC115" s="178" t="str">
        <f t="shared" si="77"/>
        <v>X</v>
      </c>
      <c r="AD115" s="176">
        <f t="shared" si="78"/>
        <v>61.5</v>
      </c>
      <c r="AE115" s="178" t="str">
        <f t="shared" si="79"/>
        <v xml:space="preserve"> </v>
      </c>
      <c r="AF115" s="176">
        <f t="shared" si="80"/>
        <v>0</v>
      </c>
      <c r="AG115" s="178" t="str">
        <f t="shared" si="81"/>
        <v>X</v>
      </c>
      <c r="AH115" s="176">
        <f t="shared" si="82"/>
        <v>60.31</v>
      </c>
    </row>
    <row r="116" spans="2:34" ht="16.5" outlineLevel="1" x14ac:dyDescent="0.25">
      <c r="B116" s="175" t="s">
        <v>2673</v>
      </c>
      <c r="C116" s="176">
        <v>28.34</v>
      </c>
      <c r="D116" s="176">
        <v>22.05</v>
      </c>
      <c r="E116" s="194">
        <v>3</v>
      </c>
      <c r="F116" s="194">
        <v>0</v>
      </c>
      <c r="G116" s="194">
        <f t="shared" si="83"/>
        <v>3</v>
      </c>
      <c r="H116" s="176"/>
      <c r="I116" s="178" t="str">
        <f t="shared" si="64"/>
        <v>X</v>
      </c>
      <c r="J116" s="176">
        <f t="shared" si="88"/>
        <v>66.150000000000006</v>
      </c>
      <c r="K116" s="178" t="str">
        <f t="shared" si="66"/>
        <v xml:space="preserve"> </v>
      </c>
      <c r="L116" s="176">
        <f t="shared" si="89"/>
        <v>0</v>
      </c>
      <c r="M116" s="178" t="str">
        <f t="shared" si="68"/>
        <v>X</v>
      </c>
      <c r="N116" s="177">
        <f t="shared" si="90"/>
        <v>66.150000000000006</v>
      </c>
      <c r="O116" s="178" t="str">
        <f t="shared" si="70"/>
        <v xml:space="preserve"> </v>
      </c>
      <c r="P116" s="176">
        <f t="shared" si="91"/>
        <v>0</v>
      </c>
      <c r="Q116" s="178" t="s">
        <v>0</v>
      </c>
      <c r="R116" s="176">
        <v>1</v>
      </c>
      <c r="S116" s="178" t="s">
        <v>2578</v>
      </c>
      <c r="T116" s="178" t="str">
        <f t="shared" si="72"/>
        <v>X</v>
      </c>
      <c r="U116" s="176">
        <f t="shared" si="84"/>
        <v>66.150000000000006</v>
      </c>
      <c r="V116" s="178" t="str">
        <f t="shared" si="73"/>
        <v xml:space="preserve"> </v>
      </c>
      <c r="W116" s="176">
        <f t="shared" si="85"/>
        <v>0</v>
      </c>
      <c r="X116" s="178" t="str">
        <f t="shared" si="74"/>
        <v xml:space="preserve"> </v>
      </c>
      <c r="Y116" s="176">
        <f t="shared" si="86"/>
        <v>0</v>
      </c>
      <c r="Z116" s="178" t="s">
        <v>2581</v>
      </c>
      <c r="AA116" s="178" t="str">
        <f t="shared" si="75"/>
        <v>X</v>
      </c>
      <c r="AB116" s="176">
        <f t="shared" si="76"/>
        <v>28.34</v>
      </c>
      <c r="AC116" s="178" t="str">
        <f t="shared" si="77"/>
        <v xml:space="preserve"> </v>
      </c>
      <c r="AD116" s="176">
        <f t="shared" si="78"/>
        <v>0</v>
      </c>
      <c r="AE116" s="178" t="str">
        <f t="shared" si="79"/>
        <v xml:space="preserve"> </v>
      </c>
      <c r="AF116" s="176">
        <f t="shared" si="80"/>
        <v>0</v>
      </c>
      <c r="AG116" s="178" t="str">
        <f t="shared" si="81"/>
        <v>X</v>
      </c>
      <c r="AH116" s="176">
        <f t="shared" si="82"/>
        <v>22.05</v>
      </c>
    </row>
    <row r="117" spans="2:34" ht="16.5" outlineLevel="1" x14ac:dyDescent="0.25">
      <c r="B117" s="175" t="s">
        <v>2674</v>
      </c>
      <c r="C117" s="176">
        <v>5.15</v>
      </c>
      <c r="D117" s="176">
        <v>9.99</v>
      </c>
      <c r="E117" s="194">
        <v>3</v>
      </c>
      <c r="F117" s="194">
        <v>2.1</v>
      </c>
      <c r="G117" s="194">
        <f t="shared" si="83"/>
        <v>0.89999999999999991</v>
      </c>
      <c r="H117" s="176"/>
      <c r="I117" s="178" t="str">
        <f t="shared" si="64"/>
        <v>X</v>
      </c>
      <c r="J117" s="176">
        <f t="shared" si="88"/>
        <v>29.97</v>
      </c>
      <c r="K117" s="178" t="str">
        <f t="shared" si="66"/>
        <v>X</v>
      </c>
      <c r="L117" s="176">
        <f t="shared" si="89"/>
        <v>20.979000000000003</v>
      </c>
      <c r="M117" s="178" t="str">
        <f t="shared" si="68"/>
        <v>X</v>
      </c>
      <c r="N117" s="177">
        <f t="shared" si="90"/>
        <v>8.9909999999999961</v>
      </c>
      <c r="O117" s="178" t="str">
        <f t="shared" si="70"/>
        <v>X</v>
      </c>
      <c r="P117" s="176">
        <f t="shared" si="91"/>
        <v>20.979000000000003</v>
      </c>
      <c r="Q117" s="178" t="s">
        <v>0</v>
      </c>
      <c r="R117" s="176"/>
      <c r="S117" s="178" t="s">
        <v>2578</v>
      </c>
      <c r="T117" s="178" t="str">
        <f t="shared" si="72"/>
        <v>X</v>
      </c>
      <c r="U117" s="176">
        <f t="shared" si="84"/>
        <v>8.9909999999999961</v>
      </c>
      <c r="V117" s="178" t="str">
        <f t="shared" si="73"/>
        <v xml:space="preserve"> </v>
      </c>
      <c r="W117" s="176">
        <f t="shared" si="85"/>
        <v>0</v>
      </c>
      <c r="X117" s="178" t="str">
        <f t="shared" si="74"/>
        <v xml:space="preserve"> </v>
      </c>
      <c r="Y117" s="176">
        <f t="shared" si="86"/>
        <v>0</v>
      </c>
      <c r="Z117" s="178" t="s">
        <v>2581</v>
      </c>
      <c r="AA117" s="178" t="str">
        <f t="shared" si="75"/>
        <v>X</v>
      </c>
      <c r="AB117" s="176">
        <f t="shared" si="76"/>
        <v>5.15</v>
      </c>
      <c r="AC117" s="178" t="str">
        <f t="shared" si="77"/>
        <v xml:space="preserve"> </v>
      </c>
      <c r="AD117" s="176">
        <f t="shared" si="78"/>
        <v>0</v>
      </c>
      <c r="AE117" s="178" t="str">
        <f t="shared" si="79"/>
        <v xml:space="preserve"> </v>
      </c>
      <c r="AF117" s="176">
        <f t="shared" si="80"/>
        <v>0</v>
      </c>
      <c r="AG117" s="178" t="str">
        <f t="shared" si="81"/>
        <v/>
      </c>
      <c r="AH117" s="176">
        <f t="shared" si="82"/>
        <v>0</v>
      </c>
    </row>
    <row r="118" spans="2:34" ht="16.5" outlineLevel="1" x14ac:dyDescent="0.25">
      <c r="B118" s="175" t="s">
        <v>2675</v>
      </c>
      <c r="C118" s="176">
        <v>28.47</v>
      </c>
      <c r="D118" s="176">
        <v>22.12</v>
      </c>
      <c r="E118" s="194">
        <v>3</v>
      </c>
      <c r="F118" s="194">
        <v>0</v>
      </c>
      <c r="G118" s="194">
        <f t="shared" si="83"/>
        <v>3</v>
      </c>
      <c r="H118" s="176"/>
      <c r="I118" s="178" t="str">
        <f t="shared" si="64"/>
        <v>X</v>
      </c>
      <c r="J118" s="176">
        <f t="shared" si="88"/>
        <v>66.36</v>
      </c>
      <c r="K118" s="178" t="str">
        <f t="shared" si="66"/>
        <v xml:space="preserve"> </v>
      </c>
      <c r="L118" s="176">
        <f t="shared" si="89"/>
        <v>0</v>
      </c>
      <c r="M118" s="178" t="str">
        <f t="shared" si="68"/>
        <v>X</v>
      </c>
      <c r="N118" s="177">
        <f t="shared" si="90"/>
        <v>66.36</v>
      </c>
      <c r="O118" s="178" t="str">
        <f t="shared" si="70"/>
        <v xml:space="preserve"> </v>
      </c>
      <c r="P118" s="176">
        <f t="shared" si="91"/>
        <v>0</v>
      </c>
      <c r="Q118" s="178" t="s">
        <v>0</v>
      </c>
      <c r="R118" s="176">
        <v>1</v>
      </c>
      <c r="S118" s="178" t="s">
        <v>2578</v>
      </c>
      <c r="T118" s="178" t="str">
        <f t="shared" si="72"/>
        <v>X</v>
      </c>
      <c r="U118" s="176">
        <f t="shared" si="84"/>
        <v>66.36</v>
      </c>
      <c r="V118" s="178" t="str">
        <f t="shared" si="73"/>
        <v xml:space="preserve"> </v>
      </c>
      <c r="W118" s="176">
        <f t="shared" si="85"/>
        <v>0</v>
      </c>
      <c r="X118" s="178" t="str">
        <f t="shared" si="74"/>
        <v xml:space="preserve"> </v>
      </c>
      <c r="Y118" s="176">
        <f t="shared" si="86"/>
        <v>0</v>
      </c>
      <c r="Z118" s="178" t="s">
        <v>2581</v>
      </c>
      <c r="AA118" s="178" t="str">
        <f t="shared" si="75"/>
        <v>X</v>
      </c>
      <c r="AB118" s="176">
        <f t="shared" si="76"/>
        <v>28.47</v>
      </c>
      <c r="AC118" s="178" t="str">
        <f t="shared" si="77"/>
        <v xml:space="preserve"> </v>
      </c>
      <c r="AD118" s="176">
        <f t="shared" si="78"/>
        <v>0</v>
      </c>
      <c r="AE118" s="178" t="str">
        <f t="shared" si="79"/>
        <v xml:space="preserve"> </v>
      </c>
      <c r="AF118" s="176">
        <f t="shared" si="80"/>
        <v>0</v>
      </c>
      <c r="AG118" s="178" t="str">
        <f t="shared" si="81"/>
        <v>X</v>
      </c>
      <c r="AH118" s="176">
        <f t="shared" si="82"/>
        <v>22.12</v>
      </c>
    </row>
    <row r="119" spans="2:34" ht="16.5" outlineLevel="1" x14ac:dyDescent="0.25">
      <c r="B119" s="175" t="s">
        <v>2676</v>
      </c>
      <c r="C119" s="176">
        <v>5.17</v>
      </c>
      <c r="D119" s="176">
        <v>10</v>
      </c>
      <c r="E119" s="194">
        <v>3</v>
      </c>
      <c r="F119" s="194">
        <v>2.1</v>
      </c>
      <c r="G119" s="194">
        <f t="shared" si="83"/>
        <v>0.89999999999999991</v>
      </c>
      <c r="H119" s="176"/>
      <c r="I119" s="178" t="str">
        <f t="shared" si="64"/>
        <v>X</v>
      </c>
      <c r="J119" s="176">
        <f t="shared" si="88"/>
        <v>30</v>
      </c>
      <c r="K119" s="178" t="str">
        <f t="shared" si="66"/>
        <v>X</v>
      </c>
      <c r="L119" s="176">
        <f t="shared" si="89"/>
        <v>21</v>
      </c>
      <c r="M119" s="178" t="str">
        <f t="shared" si="68"/>
        <v>X</v>
      </c>
      <c r="N119" s="177">
        <f t="shared" si="90"/>
        <v>9</v>
      </c>
      <c r="O119" s="178" t="str">
        <f t="shared" si="70"/>
        <v>X</v>
      </c>
      <c r="P119" s="176">
        <f t="shared" si="91"/>
        <v>21</v>
      </c>
      <c r="Q119" s="178" t="s">
        <v>0</v>
      </c>
      <c r="R119" s="176"/>
      <c r="S119" s="178" t="s">
        <v>2578</v>
      </c>
      <c r="T119" s="178" t="str">
        <f t="shared" si="72"/>
        <v>X</v>
      </c>
      <c r="U119" s="176">
        <f t="shared" si="84"/>
        <v>9</v>
      </c>
      <c r="V119" s="178" t="str">
        <f t="shared" si="73"/>
        <v xml:space="preserve"> </v>
      </c>
      <c r="W119" s="176">
        <f t="shared" si="85"/>
        <v>0</v>
      </c>
      <c r="X119" s="178" t="str">
        <f t="shared" si="74"/>
        <v xml:space="preserve"> </v>
      </c>
      <c r="Y119" s="176">
        <f t="shared" si="86"/>
        <v>0</v>
      </c>
      <c r="Z119" s="178" t="s">
        <v>2581</v>
      </c>
      <c r="AA119" s="178" t="str">
        <f t="shared" si="75"/>
        <v>X</v>
      </c>
      <c r="AB119" s="176">
        <f t="shared" si="76"/>
        <v>5.17</v>
      </c>
      <c r="AC119" s="178" t="str">
        <f t="shared" si="77"/>
        <v xml:space="preserve"> </v>
      </c>
      <c r="AD119" s="176">
        <f t="shared" si="78"/>
        <v>0</v>
      </c>
      <c r="AE119" s="178" t="str">
        <f t="shared" si="79"/>
        <v xml:space="preserve"> </v>
      </c>
      <c r="AF119" s="176">
        <f t="shared" si="80"/>
        <v>0</v>
      </c>
      <c r="AG119" s="178" t="str">
        <f t="shared" si="81"/>
        <v/>
      </c>
      <c r="AH119" s="176">
        <f t="shared" si="82"/>
        <v>0</v>
      </c>
    </row>
    <row r="120" spans="2:34" ht="16.5" outlineLevel="1" x14ac:dyDescent="0.25">
      <c r="B120" s="175" t="s">
        <v>2677</v>
      </c>
      <c r="C120" s="176">
        <v>24.24</v>
      </c>
      <c r="D120" s="176">
        <v>20.55</v>
      </c>
      <c r="E120" s="194">
        <v>3</v>
      </c>
      <c r="F120" s="194">
        <v>0</v>
      </c>
      <c r="G120" s="194">
        <f t="shared" si="83"/>
        <v>3</v>
      </c>
      <c r="H120" s="176"/>
      <c r="I120" s="178" t="str">
        <f t="shared" si="64"/>
        <v>X</v>
      </c>
      <c r="J120" s="176">
        <f t="shared" si="88"/>
        <v>61.650000000000006</v>
      </c>
      <c r="K120" s="178" t="str">
        <f t="shared" si="66"/>
        <v xml:space="preserve"> </v>
      </c>
      <c r="L120" s="176">
        <f t="shared" si="89"/>
        <v>0</v>
      </c>
      <c r="M120" s="178" t="str">
        <f t="shared" si="68"/>
        <v>X</v>
      </c>
      <c r="N120" s="177">
        <f t="shared" si="90"/>
        <v>61.650000000000006</v>
      </c>
      <c r="O120" s="178" t="str">
        <f t="shared" si="70"/>
        <v xml:space="preserve"> </v>
      </c>
      <c r="P120" s="176">
        <f t="shared" si="91"/>
        <v>0</v>
      </c>
      <c r="Q120" s="178" t="s">
        <v>0</v>
      </c>
      <c r="R120" s="176">
        <v>1</v>
      </c>
      <c r="S120" s="178" t="s">
        <v>2578</v>
      </c>
      <c r="T120" s="178" t="str">
        <f t="shared" si="72"/>
        <v>X</v>
      </c>
      <c r="U120" s="176">
        <f t="shared" si="84"/>
        <v>61.650000000000006</v>
      </c>
      <c r="V120" s="178" t="str">
        <f t="shared" si="73"/>
        <v xml:space="preserve"> </v>
      </c>
      <c r="W120" s="176">
        <f t="shared" si="85"/>
        <v>0</v>
      </c>
      <c r="X120" s="178" t="str">
        <f t="shared" si="74"/>
        <v xml:space="preserve"> </v>
      </c>
      <c r="Y120" s="176">
        <f t="shared" si="86"/>
        <v>0</v>
      </c>
      <c r="Z120" s="178" t="s">
        <v>2581</v>
      </c>
      <c r="AA120" s="178" t="str">
        <f t="shared" si="75"/>
        <v>X</v>
      </c>
      <c r="AB120" s="176">
        <f t="shared" si="76"/>
        <v>24.24</v>
      </c>
      <c r="AC120" s="178" t="str">
        <f t="shared" si="77"/>
        <v xml:space="preserve"> </v>
      </c>
      <c r="AD120" s="176">
        <f t="shared" si="78"/>
        <v>0</v>
      </c>
      <c r="AE120" s="178" t="str">
        <f t="shared" si="79"/>
        <v xml:space="preserve"> </v>
      </c>
      <c r="AF120" s="176">
        <f t="shared" si="80"/>
        <v>0</v>
      </c>
      <c r="AG120" s="178" t="str">
        <f t="shared" si="81"/>
        <v>X</v>
      </c>
      <c r="AH120" s="176">
        <f t="shared" si="82"/>
        <v>20.55</v>
      </c>
    </row>
    <row r="121" spans="2:34" ht="16.5" outlineLevel="1" x14ac:dyDescent="0.25">
      <c r="B121" s="175" t="s">
        <v>2678</v>
      </c>
      <c r="C121" s="176">
        <v>5.73</v>
      </c>
      <c r="D121" s="176">
        <v>10.62</v>
      </c>
      <c r="E121" s="194">
        <v>3</v>
      </c>
      <c r="F121" s="194">
        <v>2.1</v>
      </c>
      <c r="G121" s="194">
        <f t="shared" si="83"/>
        <v>0.89999999999999991</v>
      </c>
      <c r="H121" s="176"/>
      <c r="I121" s="178" t="str">
        <f t="shared" si="64"/>
        <v>X</v>
      </c>
      <c r="J121" s="176">
        <f t="shared" si="88"/>
        <v>31.86</v>
      </c>
      <c r="K121" s="178" t="str">
        <f t="shared" si="66"/>
        <v>X</v>
      </c>
      <c r="L121" s="176">
        <f t="shared" si="89"/>
        <v>22.302</v>
      </c>
      <c r="M121" s="178" t="str">
        <f t="shared" si="68"/>
        <v>X</v>
      </c>
      <c r="N121" s="177">
        <f t="shared" si="90"/>
        <v>9.5579999999999998</v>
      </c>
      <c r="O121" s="178" t="str">
        <f t="shared" si="70"/>
        <v>X</v>
      </c>
      <c r="P121" s="176">
        <f t="shared" si="91"/>
        <v>22.302</v>
      </c>
      <c r="Q121" s="178" t="s">
        <v>0</v>
      </c>
      <c r="R121" s="176"/>
      <c r="S121" s="178" t="s">
        <v>2578</v>
      </c>
      <c r="T121" s="178" t="str">
        <f t="shared" si="72"/>
        <v>X</v>
      </c>
      <c r="U121" s="176">
        <f t="shared" si="84"/>
        <v>9.5579999999999998</v>
      </c>
      <c r="V121" s="178" t="str">
        <f t="shared" si="73"/>
        <v xml:space="preserve"> </v>
      </c>
      <c r="W121" s="176">
        <f t="shared" si="85"/>
        <v>0</v>
      </c>
      <c r="X121" s="178" t="str">
        <f t="shared" si="74"/>
        <v xml:space="preserve"> </v>
      </c>
      <c r="Y121" s="176">
        <f t="shared" si="86"/>
        <v>0</v>
      </c>
      <c r="Z121" s="178" t="s">
        <v>2581</v>
      </c>
      <c r="AA121" s="178" t="str">
        <f t="shared" si="75"/>
        <v>X</v>
      </c>
      <c r="AB121" s="176">
        <f t="shared" si="76"/>
        <v>5.73</v>
      </c>
      <c r="AC121" s="178" t="str">
        <f t="shared" si="77"/>
        <v xml:space="preserve"> </v>
      </c>
      <c r="AD121" s="176">
        <f t="shared" si="78"/>
        <v>0</v>
      </c>
      <c r="AE121" s="178" t="str">
        <f t="shared" si="79"/>
        <v xml:space="preserve"> </v>
      </c>
      <c r="AF121" s="176">
        <f t="shared" si="80"/>
        <v>0</v>
      </c>
      <c r="AG121" s="178" t="str">
        <f t="shared" si="81"/>
        <v/>
      </c>
      <c r="AH121" s="176">
        <f t="shared" si="82"/>
        <v>0</v>
      </c>
    </row>
    <row r="122" spans="2:34" ht="16.5" outlineLevel="1" x14ac:dyDescent="0.25">
      <c r="B122" s="175" t="s">
        <v>2598</v>
      </c>
      <c r="C122" s="176">
        <v>3.28</v>
      </c>
      <c r="D122" s="176">
        <v>7.54</v>
      </c>
      <c r="E122" s="194">
        <v>3</v>
      </c>
      <c r="F122" s="194">
        <v>0</v>
      </c>
      <c r="G122" s="194">
        <f t="shared" si="83"/>
        <v>3</v>
      </c>
      <c r="H122" s="176"/>
      <c r="I122" s="178" t="str">
        <f t="shared" si="64"/>
        <v>X</v>
      </c>
      <c r="J122" s="176">
        <f t="shared" si="88"/>
        <v>22.62</v>
      </c>
      <c r="K122" s="178" t="str">
        <f t="shared" si="66"/>
        <v xml:space="preserve"> </v>
      </c>
      <c r="L122" s="176">
        <f t="shared" si="89"/>
        <v>0</v>
      </c>
      <c r="M122" s="178" t="str">
        <f t="shared" si="68"/>
        <v>X</v>
      </c>
      <c r="N122" s="177">
        <f t="shared" si="90"/>
        <v>22.62</v>
      </c>
      <c r="O122" s="178" t="str">
        <f t="shared" si="70"/>
        <v xml:space="preserve"> </v>
      </c>
      <c r="P122" s="176">
        <v>1</v>
      </c>
      <c r="Q122" s="178" t="s">
        <v>0</v>
      </c>
      <c r="R122" s="176"/>
      <c r="S122" s="178" t="s">
        <v>2578</v>
      </c>
      <c r="T122" s="178" t="str">
        <f t="shared" si="72"/>
        <v>X</v>
      </c>
      <c r="U122" s="176">
        <f t="shared" si="84"/>
        <v>22.62</v>
      </c>
      <c r="V122" s="178" t="str">
        <f t="shared" si="73"/>
        <v xml:space="preserve"> </v>
      </c>
      <c r="W122" s="176">
        <f t="shared" si="85"/>
        <v>0</v>
      </c>
      <c r="X122" s="178" t="str">
        <f t="shared" si="74"/>
        <v xml:space="preserve"> </v>
      </c>
      <c r="Y122" s="176">
        <f t="shared" si="86"/>
        <v>0</v>
      </c>
      <c r="Z122" s="178" t="s">
        <v>2581</v>
      </c>
      <c r="AA122" s="178" t="str">
        <f t="shared" si="75"/>
        <v>X</v>
      </c>
      <c r="AB122" s="176">
        <f t="shared" si="76"/>
        <v>3.28</v>
      </c>
      <c r="AC122" s="178" t="str">
        <f t="shared" si="77"/>
        <v xml:space="preserve"> </v>
      </c>
      <c r="AD122" s="176">
        <f t="shared" si="78"/>
        <v>0</v>
      </c>
      <c r="AE122" s="178" t="str">
        <f t="shared" si="79"/>
        <v xml:space="preserve"> </v>
      </c>
      <c r="AF122" s="176">
        <f t="shared" si="80"/>
        <v>0</v>
      </c>
      <c r="AG122" s="178" t="str">
        <f t="shared" si="81"/>
        <v>X</v>
      </c>
      <c r="AH122" s="176">
        <f t="shared" si="82"/>
        <v>7.54</v>
      </c>
    </row>
    <row r="123" spans="2:34" ht="16.5" outlineLevel="1" x14ac:dyDescent="0.25">
      <c r="B123" s="175" t="s">
        <v>2679</v>
      </c>
      <c r="C123" s="176">
        <v>29.15</v>
      </c>
      <c r="D123" s="176">
        <v>22.41</v>
      </c>
      <c r="E123" s="194">
        <v>3</v>
      </c>
      <c r="F123" s="194">
        <v>0</v>
      </c>
      <c r="G123" s="194">
        <f t="shared" si="83"/>
        <v>3</v>
      </c>
      <c r="H123" s="176"/>
      <c r="I123" s="178" t="str">
        <f t="shared" si="64"/>
        <v>X</v>
      </c>
      <c r="J123" s="176">
        <f t="shared" si="88"/>
        <v>67.23</v>
      </c>
      <c r="K123" s="178" t="str">
        <f t="shared" si="66"/>
        <v xml:space="preserve"> </v>
      </c>
      <c r="L123" s="176">
        <f t="shared" si="89"/>
        <v>0</v>
      </c>
      <c r="M123" s="178" t="str">
        <f t="shared" si="68"/>
        <v>X</v>
      </c>
      <c r="N123" s="177">
        <f t="shared" si="90"/>
        <v>67.23</v>
      </c>
      <c r="O123" s="178" t="str">
        <f t="shared" si="70"/>
        <v xml:space="preserve"> </v>
      </c>
      <c r="P123" s="176">
        <f t="shared" si="91"/>
        <v>0</v>
      </c>
      <c r="Q123" s="178" t="s">
        <v>0</v>
      </c>
      <c r="R123" s="176">
        <v>1</v>
      </c>
      <c r="S123" s="178" t="s">
        <v>2578</v>
      </c>
      <c r="T123" s="178" t="str">
        <f t="shared" si="72"/>
        <v>X</v>
      </c>
      <c r="U123" s="176">
        <f t="shared" si="84"/>
        <v>67.23</v>
      </c>
      <c r="V123" s="178" t="str">
        <f t="shared" si="73"/>
        <v xml:space="preserve"> </v>
      </c>
      <c r="W123" s="176">
        <f t="shared" si="85"/>
        <v>0</v>
      </c>
      <c r="X123" s="178" t="str">
        <f t="shared" si="74"/>
        <v xml:space="preserve"> </v>
      </c>
      <c r="Y123" s="176">
        <f t="shared" si="86"/>
        <v>0</v>
      </c>
      <c r="Z123" s="178" t="s">
        <v>2581</v>
      </c>
      <c r="AA123" s="178" t="str">
        <f t="shared" si="75"/>
        <v>X</v>
      </c>
      <c r="AB123" s="176">
        <f t="shared" si="76"/>
        <v>29.15</v>
      </c>
      <c r="AC123" s="178" t="str">
        <f t="shared" si="77"/>
        <v xml:space="preserve"> </v>
      </c>
      <c r="AD123" s="176">
        <f t="shared" si="78"/>
        <v>0</v>
      </c>
      <c r="AE123" s="178" t="str">
        <f t="shared" si="79"/>
        <v xml:space="preserve"> </v>
      </c>
      <c r="AF123" s="176">
        <f t="shared" si="80"/>
        <v>0</v>
      </c>
      <c r="AG123" s="178" t="str">
        <f t="shared" si="81"/>
        <v>X</v>
      </c>
      <c r="AH123" s="176">
        <f t="shared" si="82"/>
        <v>22.41</v>
      </c>
    </row>
    <row r="124" spans="2:34" ht="16.5" outlineLevel="1" x14ac:dyDescent="0.25">
      <c r="B124" s="175" t="s">
        <v>2680</v>
      </c>
      <c r="C124" s="176">
        <v>5.13</v>
      </c>
      <c r="D124" s="176">
        <v>9.9700000000000006</v>
      </c>
      <c r="E124" s="194">
        <v>3</v>
      </c>
      <c r="F124" s="194">
        <v>2.1</v>
      </c>
      <c r="G124" s="194">
        <f t="shared" si="83"/>
        <v>0.89999999999999991</v>
      </c>
      <c r="H124" s="176"/>
      <c r="I124" s="178" t="str">
        <f t="shared" si="64"/>
        <v>X</v>
      </c>
      <c r="J124" s="176">
        <f t="shared" si="88"/>
        <v>29.910000000000004</v>
      </c>
      <c r="K124" s="178" t="str">
        <f t="shared" si="66"/>
        <v>X</v>
      </c>
      <c r="L124" s="176">
        <f t="shared" si="89"/>
        <v>20.937000000000001</v>
      </c>
      <c r="M124" s="178" t="str">
        <f t="shared" si="68"/>
        <v>X</v>
      </c>
      <c r="N124" s="177">
        <f t="shared" si="90"/>
        <v>8.9730000000000025</v>
      </c>
      <c r="O124" s="178" t="str">
        <f t="shared" si="70"/>
        <v>X</v>
      </c>
      <c r="P124" s="176">
        <f t="shared" si="91"/>
        <v>20.937000000000001</v>
      </c>
      <c r="Q124" s="178" t="s">
        <v>0</v>
      </c>
      <c r="R124" s="176"/>
      <c r="S124" s="178" t="s">
        <v>2578</v>
      </c>
      <c r="T124" s="178" t="str">
        <f t="shared" si="72"/>
        <v>X</v>
      </c>
      <c r="U124" s="176">
        <f t="shared" si="84"/>
        <v>8.9730000000000025</v>
      </c>
      <c r="V124" s="178" t="str">
        <f t="shared" si="73"/>
        <v xml:space="preserve"> </v>
      </c>
      <c r="W124" s="176">
        <f t="shared" si="85"/>
        <v>0</v>
      </c>
      <c r="X124" s="178" t="str">
        <f t="shared" si="74"/>
        <v xml:space="preserve"> </v>
      </c>
      <c r="Y124" s="176">
        <f t="shared" si="86"/>
        <v>0</v>
      </c>
      <c r="Z124" s="178" t="s">
        <v>2581</v>
      </c>
      <c r="AA124" s="178" t="str">
        <f t="shared" si="75"/>
        <v>X</v>
      </c>
      <c r="AB124" s="176">
        <f t="shared" si="76"/>
        <v>5.13</v>
      </c>
      <c r="AC124" s="178" t="str">
        <f t="shared" si="77"/>
        <v xml:space="preserve"> </v>
      </c>
      <c r="AD124" s="176">
        <f t="shared" si="78"/>
        <v>0</v>
      </c>
      <c r="AE124" s="178" t="str">
        <f t="shared" si="79"/>
        <v xml:space="preserve"> </v>
      </c>
      <c r="AF124" s="176">
        <f t="shared" si="80"/>
        <v>0</v>
      </c>
      <c r="AG124" s="178" t="str">
        <f t="shared" si="81"/>
        <v/>
      </c>
      <c r="AH124" s="176">
        <f t="shared" si="82"/>
        <v>0</v>
      </c>
    </row>
    <row r="125" spans="2:34" ht="16.5" x14ac:dyDescent="0.25">
      <c r="B125" s="182"/>
      <c r="C125" s="185"/>
      <c r="D125" s="185"/>
      <c r="E125" s="185"/>
      <c r="F125" s="185"/>
      <c r="G125" s="185"/>
      <c r="H125" s="185"/>
      <c r="I125" s="184"/>
      <c r="J125" s="185"/>
      <c r="K125" s="184"/>
      <c r="L125" s="185"/>
      <c r="M125" s="184"/>
      <c r="N125" s="185"/>
      <c r="O125" s="201"/>
      <c r="P125" s="185"/>
      <c r="Q125" s="184"/>
      <c r="R125" s="189"/>
      <c r="S125" s="185"/>
      <c r="T125" s="184"/>
      <c r="U125" s="185"/>
      <c r="V125" s="184"/>
      <c r="W125" s="185"/>
      <c r="X125" s="184"/>
      <c r="Y125" s="189"/>
      <c r="Z125" s="185"/>
      <c r="AA125" s="184"/>
      <c r="AB125" s="185"/>
      <c r="AC125" s="184"/>
      <c r="AD125" s="185"/>
      <c r="AE125" s="184"/>
      <c r="AF125" s="189"/>
      <c r="AG125" s="184"/>
      <c r="AH125" s="189"/>
    </row>
    <row r="126" spans="2:34" ht="16.5" x14ac:dyDescent="0.25">
      <c r="B126" s="929" t="s">
        <v>2681</v>
      </c>
      <c r="C126" s="930"/>
      <c r="D126" s="930"/>
      <c r="E126" s="930"/>
      <c r="F126" s="930"/>
      <c r="G126" s="930"/>
      <c r="H126" s="931"/>
      <c r="I126" s="190" t="s">
        <v>2586</v>
      </c>
      <c r="J126" s="191">
        <f>SUBTOTAL(9,J127:J127)</f>
        <v>202.98</v>
      </c>
      <c r="K126" s="192" t="s">
        <v>2586</v>
      </c>
      <c r="L126" s="191">
        <f>SUBTOTAL(9,L127:L127)</f>
        <v>0</v>
      </c>
      <c r="M126" s="190" t="s">
        <v>2586</v>
      </c>
      <c r="N126" s="200">
        <f>SUBTOTAL(9,N127:N127)</f>
        <v>202.98</v>
      </c>
      <c r="O126" s="190" t="s">
        <v>2586</v>
      </c>
      <c r="P126" s="191">
        <f>SUBTOTAL(9,P127:P127)</f>
        <v>0</v>
      </c>
      <c r="Q126" s="190" t="s">
        <v>2586</v>
      </c>
      <c r="R126" s="191">
        <f>SUBTOTAL(9,R127:R127)</f>
        <v>0</v>
      </c>
      <c r="S126" s="191"/>
      <c r="T126" s="190" t="s">
        <v>2586</v>
      </c>
      <c r="U126" s="200">
        <f>SUBTOTAL(9,U127:U127)</f>
        <v>202.98</v>
      </c>
      <c r="V126" s="190" t="s">
        <v>2586</v>
      </c>
      <c r="W126" s="191">
        <f>SUBTOTAL(9,W127:W127)</f>
        <v>0</v>
      </c>
      <c r="X126" s="190" t="s">
        <v>2586</v>
      </c>
      <c r="Y126" s="191">
        <f>SUBTOTAL(9,Y127:Y127)</f>
        <v>0</v>
      </c>
      <c r="Z126" s="191"/>
      <c r="AA126" s="190" t="s">
        <v>2586</v>
      </c>
      <c r="AB126" s="200">
        <f>SUBTOTAL(9,AB127:AB127)</f>
        <v>0</v>
      </c>
      <c r="AC126" s="190" t="s">
        <v>2586</v>
      </c>
      <c r="AD126" s="191">
        <f>SUBTOTAL(9,AD127:AD127)</f>
        <v>227.48</v>
      </c>
      <c r="AE126" s="190" t="s">
        <v>2586</v>
      </c>
      <c r="AF126" s="191">
        <f>SUBTOTAL(9,AF127:AF127)</f>
        <v>0</v>
      </c>
      <c r="AG126" s="190" t="s">
        <v>2586</v>
      </c>
      <c r="AH126" s="191">
        <f>SUBTOTAL(9,AH127:AH127)</f>
        <v>67.66</v>
      </c>
    </row>
    <row r="127" spans="2:34" ht="16.5" outlineLevel="1" x14ac:dyDescent="0.25">
      <c r="B127" s="175" t="s">
        <v>2681</v>
      </c>
      <c r="C127" s="176">
        <v>227.48</v>
      </c>
      <c r="D127" s="176">
        <v>67.66</v>
      </c>
      <c r="E127" s="194">
        <v>3</v>
      </c>
      <c r="F127" s="194">
        <v>0</v>
      </c>
      <c r="G127" s="194">
        <f>E127-F127</f>
        <v>3</v>
      </c>
      <c r="H127" s="176"/>
      <c r="I127" s="178" t="str">
        <f>IF($E127&gt;0,"X"," ")</f>
        <v>X</v>
      </c>
      <c r="J127" s="176">
        <f>IF(I127="X",($D127-H127)*E127,0)</f>
        <v>202.98</v>
      </c>
      <c r="K127" s="178" t="str">
        <f>IF($F127&gt;0,"X"," ")</f>
        <v xml:space="preserve"> </v>
      </c>
      <c r="L127" s="176">
        <f>IF(K127="X",($D127-H127)*F127,0)</f>
        <v>0</v>
      </c>
      <c r="M127" s="178" t="str">
        <f>IF($E127&gt;0,"X"," ")</f>
        <v>X</v>
      </c>
      <c r="N127" s="177">
        <f>IF(M127="X",J127-L127,0)</f>
        <v>202.98</v>
      </c>
      <c r="O127" s="178" t="str">
        <f>IF($F127&gt;0,"X"," ")</f>
        <v xml:space="preserve"> </v>
      </c>
      <c r="P127" s="176">
        <f>IF(L127&gt;0,L127,0)</f>
        <v>0</v>
      </c>
      <c r="Q127" s="178" t="s">
        <v>0</v>
      </c>
      <c r="R127" s="176"/>
      <c r="S127" s="178" t="s">
        <v>2578</v>
      </c>
      <c r="T127" s="178" t="str">
        <f>IF($S127="ACRÍLICA","X"," ")</f>
        <v>X</v>
      </c>
      <c r="U127" s="176">
        <f>IF(T127="X",$N127,0)</f>
        <v>202.98</v>
      </c>
      <c r="V127" s="178" t="str">
        <f>IF($S127="EPÓXI","X"," ")</f>
        <v xml:space="preserve"> </v>
      </c>
      <c r="W127" s="176">
        <f>IF(V127="X",$N127,0)</f>
        <v>0</v>
      </c>
      <c r="X127" s="178" t="str">
        <f>IF($S127="TEXTURA","X"," ")</f>
        <v xml:space="preserve"> </v>
      </c>
      <c r="Y127" s="176">
        <f>IF(X127="X",$N127,0)</f>
        <v>0</v>
      </c>
      <c r="Z127" s="178" t="s">
        <v>2582</v>
      </c>
      <c r="AA127" s="178" t="str">
        <f>IF($Z127="ACARTONADO","X"," ")</f>
        <v xml:space="preserve"> </v>
      </c>
      <c r="AB127" s="176">
        <f>IF(AA127="X",$C127,0)</f>
        <v>0</v>
      </c>
      <c r="AC127" s="178" t="str">
        <f>IF($Z127="MINERAL","X"," ")</f>
        <v>X</v>
      </c>
      <c r="AD127" s="176">
        <f>IF(AC127="X",$C127,0)</f>
        <v>227.48</v>
      </c>
      <c r="AE127" s="178" t="str">
        <f>IF($Z127="LAJE","X"," ")</f>
        <v xml:space="preserve"> </v>
      </c>
      <c r="AF127" s="176">
        <f>IF(AE127="X",$C127,0)</f>
        <v>0</v>
      </c>
      <c r="AG127" s="178" t="str">
        <f>IF(K127="X","","X")</f>
        <v>X</v>
      </c>
      <c r="AH127" s="176">
        <f>IF(AG127="X",$D127-H127,0)</f>
        <v>67.66</v>
      </c>
    </row>
    <row r="128" spans="2:34" ht="16.5" x14ac:dyDescent="0.25">
      <c r="B128" s="182"/>
      <c r="C128" s="185"/>
      <c r="D128" s="185"/>
      <c r="E128" s="185"/>
      <c r="F128" s="185"/>
      <c r="G128" s="185"/>
      <c r="H128" s="185"/>
      <c r="I128" s="184"/>
      <c r="J128" s="185"/>
      <c r="K128" s="184"/>
      <c r="L128" s="185"/>
      <c r="M128" s="184"/>
      <c r="N128" s="185"/>
      <c r="O128" s="201"/>
      <c r="P128" s="185"/>
      <c r="Q128" s="184"/>
      <c r="R128" s="189"/>
      <c r="S128" s="185"/>
      <c r="T128" s="184"/>
      <c r="U128" s="185"/>
      <c r="V128" s="184"/>
      <c r="W128" s="185"/>
      <c r="X128" s="184"/>
      <c r="Y128" s="189"/>
      <c r="Z128" s="185"/>
      <c r="AA128" s="184"/>
      <c r="AB128" s="185"/>
      <c r="AC128" s="184"/>
      <c r="AD128" s="185"/>
      <c r="AE128" s="184"/>
      <c r="AF128" s="189"/>
      <c r="AG128" s="184"/>
      <c r="AH128" s="189"/>
    </row>
    <row r="129" spans="2:34" ht="16.5" x14ac:dyDescent="0.25">
      <c r="B129" s="929" t="s">
        <v>2682</v>
      </c>
      <c r="C129" s="930"/>
      <c r="D129" s="930"/>
      <c r="E129" s="930"/>
      <c r="F129" s="930"/>
      <c r="G129" s="930"/>
      <c r="H129" s="931"/>
      <c r="I129" s="190" t="s">
        <v>2586</v>
      </c>
      <c r="J129" s="191">
        <f>SUBTOTAL(9,J130:J186)</f>
        <v>3509.4</v>
      </c>
      <c r="K129" s="192" t="s">
        <v>2586</v>
      </c>
      <c r="L129" s="191">
        <f>SUBTOTAL(9,L130:L186)</f>
        <v>540.15300000000002</v>
      </c>
      <c r="M129" s="190" t="s">
        <v>2586</v>
      </c>
      <c r="N129" s="200">
        <f>SUBTOTAL(9,N130:N186)</f>
        <v>2969.2469999999998</v>
      </c>
      <c r="O129" s="190" t="s">
        <v>2586</v>
      </c>
      <c r="P129" s="191">
        <f>SUBTOTAL(9,P130:P186)</f>
        <v>541.15300000000002</v>
      </c>
      <c r="Q129" s="190" t="s">
        <v>2586</v>
      </c>
      <c r="R129" s="191">
        <f>SUBTOTAL(9,R130:R186)</f>
        <v>0</v>
      </c>
      <c r="S129" s="191"/>
      <c r="T129" s="190" t="s">
        <v>2586</v>
      </c>
      <c r="U129" s="200">
        <f>SUBTOTAL(9,U130:U186)</f>
        <v>2859.1770000000001</v>
      </c>
      <c r="V129" s="190" t="s">
        <v>2586</v>
      </c>
      <c r="W129" s="191">
        <f>SUBTOTAL(9,W130:W186)</f>
        <v>0</v>
      </c>
      <c r="X129" s="190" t="s">
        <v>2586</v>
      </c>
      <c r="Y129" s="191">
        <f>SUBTOTAL(9,Y130:Y186)</f>
        <v>110.07000000000001</v>
      </c>
      <c r="Z129" s="191"/>
      <c r="AA129" s="190" t="s">
        <v>2586</v>
      </c>
      <c r="AB129" s="200">
        <f>SUBTOTAL(9,AB130:AB186)</f>
        <v>956.58999999999992</v>
      </c>
      <c r="AC129" s="190" t="s">
        <v>2586</v>
      </c>
      <c r="AD129" s="191">
        <f>SUBTOTAL(9,AD130:AD186)</f>
        <v>377.05</v>
      </c>
      <c r="AE129" s="190" t="s">
        <v>2586</v>
      </c>
      <c r="AF129" s="191">
        <f>SUBTOTAL(9,AF130:AF186)</f>
        <v>15.11</v>
      </c>
      <c r="AG129" s="190" t="s">
        <v>2586</v>
      </c>
      <c r="AH129" s="191">
        <f>SUBTOTAL(9,AH130:AH186)</f>
        <v>933.87999999999977</v>
      </c>
    </row>
    <row r="130" spans="2:34" ht="16.5" outlineLevel="1" x14ac:dyDescent="0.25">
      <c r="B130" s="175" t="s">
        <v>2683</v>
      </c>
      <c r="C130" s="176">
        <v>11.29</v>
      </c>
      <c r="D130" s="176">
        <v>15.4</v>
      </c>
      <c r="E130" s="194">
        <v>3</v>
      </c>
      <c r="F130" s="194">
        <v>2.1</v>
      </c>
      <c r="G130" s="194">
        <f>E130-F130</f>
        <v>0.89999999999999991</v>
      </c>
      <c r="H130" s="176"/>
      <c r="I130" s="178" t="str">
        <f t="shared" ref="I130:I186" si="92">IF($E130&gt;0,"X"," ")</f>
        <v>X</v>
      </c>
      <c r="J130" s="176">
        <f t="shared" ref="J130:J173" si="93">IF(I130="X",($D130-H130)*E130,0)</f>
        <v>46.2</v>
      </c>
      <c r="K130" s="178" t="str">
        <f t="shared" ref="K130:K186" si="94">IF($F130&gt;0,"X"," ")</f>
        <v>X</v>
      </c>
      <c r="L130" s="176">
        <f t="shared" ref="L130:L140" si="95">IF(K130="X",($D130-H130)*F130,0)</f>
        <v>32.340000000000003</v>
      </c>
      <c r="M130" s="178" t="str">
        <f t="shared" ref="M130:M186" si="96">IF($E130&gt;0,"X"," ")</f>
        <v>X</v>
      </c>
      <c r="N130" s="177">
        <f t="shared" ref="N130:N173" si="97">IF(M130="X",J130-L130,0)</f>
        <v>13.86</v>
      </c>
      <c r="O130" s="178" t="str">
        <f t="shared" ref="O130:O186" si="98">IF($F130&gt;0,"X"," ")</f>
        <v>X</v>
      </c>
      <c r="P130" s="176">
        <f t="shared" ref="P130:P173" si="99">IF(L130&gt;0,L130,0)</f>
        <v>32.340000000000003</v>
      </c>
      <c r="Q130" s="178" t="s">
        <v>0</v>
      </c>
      <c r="R130" s="176"/>
      <c r="S130" s="178" t="s">
        <v>2578</v>
      </c>
      <c r="T130" s="178" t="str">
        <f t="shared" ref="T130:T186" si="100">IF($S130="ACRÍLICA","X"," ")</f>
        <v>X</v>
      </c>
      <c r="U130" s="176">
        <f>IF(T130="X",$N130,0)</f>
        <v>13.86</v>
      </c>
      <c r="V130" s="178" t="str">
        <f t="shared" ref="V130:V186" si="101">IF($S130="EPÓXI","X"," ")</f>
        <v xml:space="preserve"> </v>
      </c>
      <c r="W130" s="176">
        <f>IF(V130="X",$N130,0)</f>
        <v>0</v>
      </c>
      <c r="X130" s="178" t="str">
        <f t="shared" ref="X130:X186" si="102">IF($S130="TEXTURA","X"," ")</f>
        <v xml:space="preserve"> </v>
      </c>
      <c r="Y130" s="176">
        <f>IF(X130="X",$N130,0)</f>
        <v>0</v>
      </c>
      <c r="Z130" s="178" t="s">
        <v>2581</v>
      </c>
      <c r="AA130" s="178" t="str">
        <f t="shared" ref="AA130:AA186" si="103">IF($Z130="ACARTONADO","X"," ")</f>
        <v>X</v>
      </c>
      <c r="AB130" s="176">
        <f t="shared" ref="AB130:AB186" si="104">IF(AA130="X",$C130,0)</f>
        <v>11.29</v>
      </c>
      <c r="AC130" s="178" t="str">
        <f t="shared" ref="AC130:AC186" si="105">IF($Z130="MINERAL","X"," ")</f>
        <v xml:space="preserve"> </v>
      </c>
      <c r="AD130" s="176">
        <f t="shared" ref="AD130:AD186" si="106">IF(AC130="X",$C130,0)</f>
        <v>0</v>
      </c>
      <c r="AE130" s="178" t="str">
        <f t="shared" ref="AE130:AE186" si="107">IF($Z130="LAJE","X"," ")</f>
        <v xml:space="preserve"> </v>
      </c>
      <c r="AF130" s="176">
        <f t="shared" ref="AF130:AF186" si="108">IF(AE130="X",$C130,0)</f>
        <v>0</v>
      </c>
      <c r="AG130" s="178" t="str">
        <f t="shared" ref="AG130:AG186" si="109">IF(K130="X","","X")</f>
        <v/>
      </c>
      <c r="AH130" s="176">
        <f t="shared" ref="AH130:AH186" si="110">IF(AG130="X",$D130-H130,0)</f>
        <v>0</v>
      </c>
    </row>
    <row r="131" spans="2:34" ht="16.5" outlineLevel="1" x14ac:dyDescent="0.25">
      <c r="B131" s="175" t="s">
        <v>2684</v>
      </c>
      <c r="C131" s="176">
        <v>11.27</v>
      </c>
      <c r="D131" s="176">
        <v>15.65</v>
      </c>
      <c r="E131" s="194">
        <v>3</v>
      </c>
      <c r="F131" s="194">
        <v>2.1</v>
      </c>
      <c r="G131" s="194">
        <f t="shared" ref="G131:G186" si="111">E131-F131</f>
        <v>0.89999999999999991</v>
      </c>
      <c r="H131" s="176"/>
      <c r="I131" s="178" t="str">
        <f t="shared" si="92"/>
        <v>X</v>
      </c>
      <c r="J131" s="176">
        <f t="shared" si="93"/>
        <v>46.95</v>
      </c>
      <c r="K131" s="178" t="str">
        <f t="shared" si="94"/>
        <v>X</v>
      </c>
      <c r="L131" s="176">
        <f t="shared" si="95"/>
        <v>32.865000000000002</v>
      </c>
      <c r="M131" s="178" t="str">
        <f t="shared" si="96"/>
        <v>X</v>
      </c>
      <c r="N131" s="177">
        <f t="shared" si="97"/>
        <v>14.085000000000001</v>
      </c>
      <c r="O131" s="178" t="str">
        <f t="shared" si="98"/>
        <v>X</v>
      </c>
      <c r="P131" s="176">
        <f t="shared" si="99"/>
        <v>32.865000000000002</v>
      </c>
      <c r="Q131" s="178" t="s">
        <v>0</v>
      </c>
      <c r="R131" s="176"/>
      <c r="S131" s="178" t="s">
        <v>2578</v>
      </c>
      <c r="T131" s="178" t="str">
        <f t="shared" si="100"/>
        <v>X</v>
      </c>
      <c r="U131" s="176">
        <f t="shared" ref="U131:U186" si="112">IF(T131="X",$N131,0)</f>
        <v>14.085000000000001</v>
      </c>
      <c r="V131" s="178" t="str">
        <f t="shared" si="101"/>
        <v xml:space="preserve"> </v>
      </c>
      <c r="W131" s="176">
        <f t="shared" ref="W131:W186" si="113">IF(V131="X",$N131,0)</f>
        <v>0</v>
      </c>
      <c r="X131" s="178" t="str">
        <f t="shared" si="102"/>
        <v xml:space="preserve"> </v>
      </c>
      <c r="Y131" s="176">
        <f t="shared" ref="Y131:Y186" si="114">IF(X131="X",$N131,0)</f>
        <v>0</v>
      </c>
      <c r="Z131" s="178" t="s">
        <v>2581</v>
      </c>
      <c r="AA131" s="178" t="str">
        <f t="shared" si="103"/>
        <v>X</v>
      </c>
      <c r="AB131" s="176">
        <f t="shared" si="104"/>
        <v>11.27</v>
      </c>
      <c r="AC131" s="178" t="str">
        <f t="shared" si="105"/>
        <v xml:space="preserve"> </v>
      </c>
      <c r="AD131" s="176">
        <f t="shared" si="106"/>
        <v>0</v>
      </c>
      <c r="AE131" s="178" t="str">
        <f t="shared" si="107"/>
        <v xml:space="preserve"> </v>
      </c>
      <c r="AF131" s="176">
        <f t="shared" si="108"/>
        <v>0</v>
      </c>
      <c r="AG131" s="178" t="str">
        <f t="shared" si="109"/>
        <v/>
      </c>
      <c r="AH131" s="176">
        <f t="shared" si="110"/>
        <v>0</v>
      </c>
    </row>
    <row r="132" spans="2:34" ht="16.5" outlineLevel="1" x14ac:dyDescent="0.25">
      <c r="B132" s="175" t="s">
        <v>2685</v>
      </c>
      <c r="C132" s="176">
        <v>3.94</v>
      </c>
      <c r="D132" s="176">
        <v>8</v>
      </c>
      <c r="E132" s="194">
        <v>3</v>
      </c>
      <c r="F132" s="194">
        <v>2.1</v>
      </c>
      <c r="G132" s="194">
        <f t="shared" si="111"/>
        <v>0.89999999999999991</v>
      </c>
      <c r="H132" s="176"/>
      <c r="I132" s="178" t="str">
        <f t="shared" si="92"/>
        <v>X</v>
      </c>
      <c r="J132" s="176">
        <f t="shared" si="93"/>
        <v>24</v>
      </c>
      <c r="K132" s="178" t="str">
        <f t="shared" si="94"/>
        <v>X</v>
      </c>
      <c r="L132" s="176">
        <f t="shared" si="95"/>
        <v>16.8</v>
      </c>
      <c r="M132" s="178" t="str">
        <f t="shared" si="96"/>
        <v>X</v>
      </c>
      <c r="N132" s="177">
        <f t="shared" si="97"/>
        <v>7.1999999999999993</v>
      </c>
      <c r="O132" s="178" t="str">
        <f t="shared" si="98"/>
        <v>X</v>
      </c>
      <c r="P132" s="176">
        <f t="shared" si="99"/>
        <v>16.8</v>
      </c>
      <c r="Q132" s="178" t="s">
        <v>0</v>
      </c>
      <c r="R132" s="176"/>
      <c r="S132" s="178" t="s">
        <v>2578</v>
      </c>
      <c r="T132" s="178" t="str">
        <f t="shared" si="100"/>
        <v>X</v>
      </c>
      <c r="U132" s="176">
        <f t="shared" si="112"/>
        <v>7.1999999999999993</v>
      </c>
      <c r="V132" s="178" t="str">
        <f t="shared" si="101"/>
        <v xml:space="preserve"> </v>
      </c>
      <c r="W132" s="176">
        <f t="shared" si="113"/>
        <v>0</v>
      </c>
      <c r="X132" s="178" t="str">
        <f t="shared" si="102"/>
        <v xml:space="preserve"> </v>
      </c>
      <c r="Y132" s="176">
        <f t="shared" si="114"/>
        <v>0</v>
      </c>
      <c r="Z132" s="178" t="s">
        <v>2581</v>
      </c>
      <c r="AA132" s="178" t="str">
        <f t="shared" si="103"/>
        <v>X</v>
      </c>
      <c r="AB132" s="176">
        <f t="shared" si="104"/>
        <v>3.94</v>
      </c>
      <c r="AC132" s="178" t="str">
        <f t="shared" si="105"/>
        <v xml:space="preserve"> </v>
      </c>
      <c r="AD132" s="176">
        <f t="shared" si="106"/>
        <v>0</v>
      </c>
      <c r="AE132" s="178" t="str">
        <f t="shared" si="107"/>
        <v xml:space="preserve"> </v>
      </c>
      <c r="AF132" s="176">
        <f t="shared" si="108"/>
        <v>0</v>
      </c>
      <c r="AG132" s="178" t="str">
        <f t="shared" si="109"/>
        <v/>
      </c>
      <c r="AH132" s="176">
        <f t="shared" si="110"/>
        <v>0</v>
      </c>
    </row>
    <row r="133" spans="2:34" ht="16.5" outlineLevel="1" x14ac:dyDescent="0.25">
      <c r="B133" s="175" t="s">
        <v>2591</v>
      </c>
      <c r="C133" s="176">
        <v>3</v>
      </c>
      <c r="D133" s="176">
        <v>7</v>
      </c>
      <c r="E133" s="194">
        <v>3</v>
      </c>
      <c r="F133" s="194">
        <v>2.1</v>
      </c>
      <c r="G133" s="194">
        <f t="shared" si="111"/>
        <v>0.89999999999999991</v>
      </c>
      <c r="H133" s="176"/>
      <c r="I133" s="178" t="str">
        <f t="shared" si="92"/>
        <v>X</v>
      </c>
      <c r="J133" s="176">
        <f t="shared" si="93"/>
        <v>21</v>
      </c>
      <c r="K133" s="178" t="str">
        <f t="shared" si="94"/>
        <v>X</v>
      </c>
      <c r="L133" s="176">
        <f t="shared" si="95"/>
        <v>14.700000000000001</v>
      </c>
      <c r="M133" s="178" t="str">
        <f t="shared" si="96"/>
        <v>X</v>
      </c>
      <c r="N133" s="177">
        <f t="shared" si="97"/>
        <v>6.2999999999999989</v>
      </c>
      <c r="O133" s="178" t="str">
        <f t="shared" si="98"/>
        <v>X</v>
      </c>
      <c r="P133" s="176">
        <f t="shared" si="99"/>
        <v>14.700000000000001</v>
      </c>
      <c r="Q133" s="178" t="s">
        <v>0</v>
      </c>
      <c r="R133" s="176"/>
      <c r="S133" s="178" t="s">
        <v>2578</v>
      </c>
      <c r="T133" s="178" t="str">
        <f t="shared" si="100"/>
        <v>X</v>
      </c>
      <c r="U133" s="176">
        <f t="shared" si="112"/>
        <v>6.2999999999999989</v>
      </c>
      <c r="V133" s="178" t="str">
        <f t="shared" si="101"/>
        <v xml:space="preserve"> </v>
      </c>
      <c r="W133" s="176">
        <f t="shared" si="113"/>
        <v>0</v>
      </c>
      <c r="X133" s="178" t="str">
        <f t="shared" si="102"/>
        <v xml:space="preserve"> </v>
      </c>
      <c r="Y133" s="176">
        <f t="shared" si="114"/>
        <v>0</v>
      </c>
      <c r="Z133" s="178" t="s">
        <v>2581</v>
      </c>
      <c r="AA133" s="178" t="str">
        <f t="shared" si="103"/>
        <v>X</v>
      </c>
      <c r="AB133" s="176">
        <f t="shared" si="104"/>
        <v>3</v>
      </c>
      <c r="AC133" s="178" t="str">
        <f t="shared" si="105"/>
        <v xml:space="preserve"> </v>
      </c>
      <c r="AD133" s="176">
        <f t="shared" si="106"/>
        <v>0</v>
      </c>
      <c r="AE133" s="178" t="str">
        <f t="shared" si="107"/>
        <v xml:space="preserve"> </v>
      </c>
      <c r="AF133" s="176">
        <f t="shared" si="108"/>
        <v>0</v>
      </c>
      <c r="AG133" s="178" t="str">
        <f t="shared" si="109"/>
        <v/>
      </c>
      <c r="AH133" s="176">
        <f t="shared" si="110"/>
        <v>0</v>
      </c>
    </row>
    <row r="134" spans="2:34" ht="16.5" outlineLevel="1" x14ac:dyDescent="0.25">
      <c r="B134" s="175" t="s">
        <v>2590</v>
      </c>
      <c r="C134" s="176">
        <v>5.34</v>
      </c>
      <c r="D134" s="176">
        <v>9.6</v>
      </c>
      <c r="E134" s="194">
        <v>3</v>
      </c>
      <c r="F134" s="194">
        <v>0</v>
      </c>
      <c r="G134" s="194">
        <f t="shared" si="111"/>
        <v>3</v>
      </c>
      <c r="H134" s="176"/>
      <c r="I134" s="178" t="str">
        <f t="shared" si="92"/>
        <v>X</v>
      </c>
      <c r="J134" s="176">
        <f t="shared" si="93"/>
        <v>28.799999999999997</v>
      </c>
      <c r="K134" s="178" t="str">
        <f t="shared" si="94"/>
        <v xml:space="preserve"> </v>
      </c>
      <c r="L134" s="176">
        <f t="shared" si="95"/>
        <v>0</v>
      </c>
      <c r="M134" s="178" t="str">
        <f t="shared" si="96"/>
        <v>X</v>
      </c>
      <c r="N134" s="177">
        <f t="shared" si="97"/>
        <v>28.799999999999997</v>
      </c>
      <c r="O134" s="178" t="str">
        <f t="shared" si="98"/>
        <v xml:space="preserve"> </v>
      </c>
      <c r="P134" s="176">
        <v>1</v>
      </c>
      <c r="Q134" s="178" t="s">
        <v>0</v>
      </c>
      <c r="R134" s="176"/>
      <c r="S134" s="178" t="s">
        <v>2578</v>
      </c>
      <c r="T134" s="178" t="str">
        <f t="shared" si="100"/>
        <v>X</v>
      </c>
      <c r="U134" s="176">
        <f t="shared" si="112"/>
        <v>28.799999999999997</v>
      </c>
      <c r="V134" s="178" t="str">
        <f t="shared" si="101"/>
        <v xml:space="preserve"> </v>
      </c>
      <c r="W134" s="176">
        <f t="shared" si="113"/>
        <v>0</v>
      </c>
      <c r="X134" s="178" t="str">
        <f t="shared" si="102"/>
        <v xml:space="preserve"> </v>
      </c>
      <c r="Y134" s="176">
        <f t="shared" si="114"/>
        <v>0</v>
      </c>
      <c r="Z134" s="178" t="s">
        <v>2581</v>
      </c>
      <c r="AA134" s="178" t="str">
        <f t="shared" si="103"/>
        <v>X</v>
      </c>
      <c r="AB134" s="176">
        <f t="shared" si="104"/>
        <v>5.34</v>
      </c>
      <c r="AC134" s="178" t="str">
        <f t="shared" si="105"/>
        <v xml:space="preserve"> </v>
      </c>
      <c r="AD134" s="176">
        <f t="shared" si="106"/>
        <v>0</v>
      </c>
      <c r="AE134" s="178" t="str">
        <f t="shared" si="107"/>
        <v xml:space="preserve"> </v>
      </c>
      <c r="AF134" s="176">
        <f t="shared" si="108"/>
        <v>0</v>
      </c>
      <c r="AG134" s="178" t="str">
        <f t="shared" si="109"/>
        <v>X</v>
      </c>
      <c r="AH134" s="176">
        <f t="shared" si="110"/>
        <v>9.6</v>
      </c>
    </row>
    <row r="135" spans="2:34" ht="16.5" outlineLevel="1" x14ac:dyDescent="0.25">
      <c r="B135" s="175" t="s">
        <v>2686</v>
      </c>
      <c r="C135" s="176">
        <v>10</v>
      </c>
      <c r="D135" s="176">
        <v>14</v>
      </c>
      <c r="E135" s="194">
        <v>3</v>
      </c>
      <c r="F135" s="194">
        <v>0</v>
      </c>
      <c r="G135" s="194">
        <f t="shared" si="111"/>
        <v>3</v>
      </c>
      <c r="H135" s="176"/>
      <c r="I135" s="178" t="str">
        <f t="shared" si="92"/>
        <v>X</v>
      </c>
      <c r="J135" s="176">
        <f t="shared" si="93"/>
        <v>42</v>
      </c>
      <c r="K135" s="178" t="str">
        <f t="shared" si="94"/>
        <v xml:space="preserve"> </v>
      </c>
      <c r="L135" s="176">
        <f t="shared" si="95"/>
        <v>0</v>
      </c>
      <c r="M135" s="178" t="str">
        <f t="shared" si="96"/>
        <v>X</v>
      </c>
      <c r="N135" s="177">
        <f t="shared" si="97"/>
        <v>42</v>
      </c>
      <c r="O135" s="178" t="str">
        <f t="shared" si="98"/>
        <v xml:space="preserve"> </v>
      </c>
      <c r="P135" s="176">
        <f t="shared" si="99"/>
        <v>0</v>
      </c>
      <c r="Q135" s="178" t="s">
        <v>0</v>
      </c>
      <c r="R135" s="176"/>
      <c r="S135" s="178" t="s">
        <v>2578</v>
      </c>
      <c r="T135" s="178" t="str">
        <f t="shared" si="100"/>
        <v>X</v>
      </c>
      <c r="U135" s="176">
        <f t="shared" si="112"/>
        <v>42</v>
      </c>
      <c r="V135" s="178" t="str">
        <f t="shared" si="101"/>
        <v xml:space="preserve"> </v>
      </c>
      <c r="W135" s="176">
        <f t="shared" si="113"/>
        <v>0</v>
      </c>
      <c r="X135" s="178" t="str">
        <f t="shared" si="102"/>
        <v xml:space="preserve"> </v>
      </c>
      <c r="Y135" s="176">
        <f t="shared" si="114"/>
        <v>0</v>
      </c>
      <c r="Z135" s="178" t="s">
        <v>2581</v>
      </c>
      <c r="AA135" s="178" t="str">
        <f t="shared" si="103"/>
        <v>X</v>
      </c>
      <c r="AB135" s="176">
        <f t="shared" si="104"/>
        <v>10</v>
      </c>
      <c r="AC135" s="178" t="str">
        <f t="shared" si="105"/>
        <v xml:space="preserve"> </v>
      </c>
      <c r="AD135" s="176">
        <f t="shared" si="106"/>
        <v>0</v>
      </c>
      <c r="AE135" s="178" t="str">
        <f t="shared" si="107"/>
        <v xml:space="preserve"> </v>
      </c>
      <c r="AF135" s="176">
        <f t="shared" si="108"/>
        <v>0</v>
      </c>
      <c r="AG135" s="178" t="str">
        <f t="shared" si="109"/>
        <v>X</v>
      </c>
      <c r="AH135" s="176">
        <f t="shared" si="110"/>
        <v>14</v>
      </c>
    </row>
    <row r="136" spans="2:34" ht="16.5" outlineLevel="1" x14ac:dyDescent="0.25">
      <c r="B136" s="175" t="s">
        <v>2687</v>
      </c>
      <c r="C136" s="176">
        <v>14.98</v>
      </c>
      <c r="D136" s="176">
        <v>16</v>
      </c>
      <c r="E136" s="194">
        <v>3</v>
      </c>
      <c r="F136" s="194">
        <v>0</v>
      </c>
      <c r="G136" s="194">
        <f t="shared" si="111"/>
        <v>3</v>
      </c>
      <c r="H136" s="176"/>
      <c r="I136" s="178" t="str">
        <f t="shared" si="92"/>
        <v>X</v>
      </c>
      <c r="J136" s="176">
        <f t="shared" si="93"/>
        <v>48</v>
      </c>
      <c r="K136" s="178" t="str">
        <f t="shared" si="94"/>
        <v xml:space="preserve"> </v>
      </c>
      <c r="L136" s="176">
        <f t="shared" si="95"/>
        <v>0</v>
      </c>
      <c r="M136" s="178" t="str">
        <f t="shared" si="96"/>
        <v>X</v>
      </c>
      <c r="N136" s="177">
        <f t="shared" si="97"/>
        <v>48</v>
      </c>
      <c r="O136" s="178" t="str">
        <f t="shared" si="98"/>
        <v xml:space="preserve"> </v>
      </c>
      <c r="P136" s="176">
        <f t="shared" si="99"/>
        <v>0</v>
      </c>
      <c r="Q136" s="178" t="s">
        <v>0</v>
      </c>
      <c r="R136" s="176"/>
      <c r="S136" s="178" t="s">
        <v>2578</v>
      </c>
      <c r="T136" s="178" t="str">
        <f t="shared" si="100"/>
        <v>X</v>
      </c>
      <c r="U136" s="176">
        <f t="shared" si="112"/>
        <v>48</v>
      </c>
      <c r="V136" s="178" t="str">
        <f t="shared" si="101"/>
        <v xml:space="preserve"> </v>
      </c>
      <c r="W136" s="176">
        <f t="shared" si="113"/>
        <v>0</v>
      </c>
      <c r="X136" s="178" t="str">
        <f t="shared" si="102"/>
        <v xml:space="preserve"> </v>
      </c>
      <c r="Y136" s="176">
        <f t="shared" si="114"/>
        <v>0</v>
      </c>
      <c r="Z136" s="178" t="s">
        <v>2581</v>
      </c>
      <c r="AA136" s="178" t="str">
        <f t="shared" si="103"/>
        <v>X</v>
      </c>
      <c r="AB136" s="176">
        <f t="shared" si="104"/>
        <v>14.98</v>
      </c>
      <c r="AC136" s="178" t="str">
        <f t="shared" si="105"/>
        <v xml:space="preserve"> </v>
      </c>
      <c r="AD136" s="176">
        <f t="shared" si="106"/>
        <v>0</v>
      </c>
      <c r="AE136" s="178" t="str">
        <f t="shared" si="107"/>
        <v xml:space="preserve"> </v>
      </c>
      <c r="AF136" s="176">
        <f t="shared" si="108"/>
        <v>0</v>
      </c>
      <c r="AG136" s="178" t="str">
        <f t="shared" si="109"/>
        <v>X</v>
      </c>
      <c r="AH136" s="176">
        <f t="shared" si="110"/>
        <v>16</v>
      </c>
    </row>
    <row r="137" spans="2:34" ht="16.5" outlineLevel="1" x14ac:dyDescent="0.25">
      <c r="B137" s="175" t="s">
        <v>2594</v>
      </c>
      <c r="C137" s="176">
        <v>30.13</v>
      </c>
      <c r="D137" s="176">
        <v>41.69</v>
      </c>
      <c r="E137" s="194">
        <v>3</v>
      </c>
      <c r="F137" s="194">
        <v>0</v>
      </c>
      <c r="G137" s="194">
        <f t="shared" si="111"/>
        <v>3</v>
      </c>
      <c r="H137" s="176">
        <v>2.78</v>
      </c>
      <c r="I137" s="178" t="str">
        <f t="shared" si="92"/>
        <v>X</v>
      </c>
      <c r="J137" s="176">
        <f t="shared" si="93"/>
        <v>116.72999999999999</v>
      </c>
      <c r="K137" s="178" t="str">
        <f t="shared" si="94"/>
        <v xml:space="preserve"> </v>
      </c>
      <c r="L137" s="176">
        <f t="shared" si="95"/>
        <v>0</v>
      </c>
      <c r="M137" s="178" t="str">
        <f t="shared" si="96"/>
        <v>X</v>
      </c>
      <c r="N137" s="177">
        <f t="shared" si="97"/>
        <v>116.72999999999999</v>
      </c>
      <c r="O137" s="178" t="str">
        <f t="shared" si="98"/>
        <v xml:space="preserve"> </v>
      </c>
      <c r="P137" s="176">
        <f t="shared" si="99"/>
        <v>0</v>
      </c>
      <c r="Q137" s="178" t="s">
        <v>0</v>
      </c>
      <c r="R137" s="176"/>
      <c r="S137" s="178" t="s">
        <v>2578</v>
      </c>
      <c r="T137" s="178" t="str">
        <f t="shared" si="100"/>
        <v>X</v>
      </c>
      <c r="U137" s="176">
        <f t="shared" si="112"/>
        <v>116.72999999999999</v>
      </c>
      <c r="V137" s="178" t="str">
        <f t="shared" si="101"/>
        <v xml:space="preserve"> </v>
      </c>
      <c r="W137" s="176">
        <f t="shared" si="113"/>
        <v>0</v>
      </c>
      <c r="X137" s="178" t="str">
        <f t="shared" si="102"/>
        <v xml:space="preserve"> </v>
      </c>
      <c r="Y137" s="176">
        <f t="shared" si="114"/>
        <v>0</v>
      </c>
      <c r="Z137" s="178" t="s">
        <v>2582</v>
      </c>
      <c r="AA137" s="178" t="str">
        <f t="shared" si="103"/>
        <v xml:space="preserve"> </v>
      </c>
      <c r="AB137" s="176">
        <f t="shared" si="104"/>
        <v>0</v>
      </c>
      <c r="AC137" s="178" t="str">
        <f t="shared" si="105"/>
        <v>X</v>
      </c>
      <c r="AD137" s="176">
        <f t="shared" si="106"/>
        <v>30.13</v>
      </c>
      <c r="AE137" s="178" t="str">
        <f t="shared" si="107"/>
        <v xml:space="preserve"> </v>
      </c>
      <c r="AF137" s="176">
        <f t="shared" si="108"/>
        <v>0</v>
      </c>
      <c r="AG137" s="178" t="str">
        <f t="shared" si="109"/>
        <v>X</v>
      </c>
      <c r="AH137" s="176">
        <f t="shared" si="110"/>
        <v>38.909999999999997</v>
      </c>
    </row>
    <row r="138" spans="2:34" ht="16.5" outlineLevel="1" x14ac:dyDescent="0.25">
      <c r="B138" s="175" t="s">
        <v>2688</v>
      </c>
      <c r="C138" s="176">
        <v>14.26</v>
      </c>
      <c r="D138" s="176">
        <v>15.16</v>
      </c>
      <c r="E138" s="194">
        <v>3</v>
      </c>
      <c r="F138" s="194">
        <v>0</v>
      </c>
      <c r="G138" s="194">
        <f t="shared" si="111"/>
        <v>3</v>
      </c>
      <c r="H138" s="176"/>
      <c r="I138" s="178" t="str">
        <f t="shared" si="92"/>
        <v>X</v>
      </c>
      <c r="J138" s="176">
        <f t="shared" si="93"/>
        <v>45.480000000000004</v>
      </c>
      <c r="K138" s="178" t="str">
        <f t="shared" si="94"/>
        <v xml:space="preserve"> </v>
      </c>
      <c r="L138" s="176">
        <f t="shared" si="95"/>
        <v>0</v>
      </c>
      <c r="M138" s="178" t="str">
        <f t="shared" si="96"/>
        <v>X</v>
      </c>
      <c r="N138" s="177">
        <f t="shared" si="97"/>
        <v>45.480000000000004</v>
      </c>
      <c r="O138" s="178" t="str">
        <f t="shared" si="98"/>
        <v xml:space="preserve"> </v>
      </c>
      <c r="P138" s="176">
        <f t="shared" si="99"/>
        <v>0</v>
      </c>
      <c r="Q138" s="178" t="s">
        <v>0</v>
      </c>
      <c r="R138" s="176"/>
      <c r="S138" s="178" t="s">
        <v>2578</v>
      </c>
      <c r="T138" s="178" t="str">
        <f t="shared" si="100"/>
        <v>X</v>
      </c>
      <c r="U138" s="176">
        <f t="shared" si="112"/>
        <v>45.480000000000004</v>
      </c>
      <c r="V138" s="178" t="str">
        <f t="shared" si="101"/>
        <v xml:space="preserve"> </v>
      </c>
      <c r="W138" s="176">
        <f t="shared" si="113"/>
        <v>0</v>
      </c>
      <c r="X138" s="178" t="str">
        <f t="shared" si="102"/>
        <v xml:space="preserve"> </v>
      </c>
      <c r="Y138" s="176">
        <f t="shared" si="114"/>
        <v>0</v>
      </c>
      <c r="Z138" s="178" t="s">
        <v>2581</v>
      </c>
      <c r="AA138" s="178" t="str">
        <f t="shared" si="103"/>
        <v>X</v>
      </c>
      <c r="AB138" s="176">
        <f t="shared" si="104"/>
        <v>14.26</v>
      </c>
      <c r="AC138" s="178" t="str">
        <f t="shared" si="105"/>
        <v xml:space="preserve"> </v>
      </c>
      <c r="AD138" s="176">
        <f t="shared" si="106"/>
        <v>0</v>
      </c>
      <c r="AE138" s="178" t="str">
        <f t="shared" si="107"/>
        <v xml:space="preserve"> </v>
      </c>
      <c r="AF138" s="176">
        <f t="shared" si="108"/>
        <v>0</v>
      </c>
      <c r="AG138" s="178" t="str">
        <f t="shared" si="109"/>
        <v>X</v>
      </c>
      <c r="AH138" s="176">
        <f t="shared" si="110"/>
        <v>15.16</v>
      </c>
    </row>
    <row r="139" spans="2:34" ht="16.5" outlineLevel="1" x14ac:dyDescent="0.25">
      <c r="B139" s="175" t="s">
        <v>2689</v>
      </c>
      <c r="C139" s="176">
        <v>14.29</v>
      </c>
      <c r="D139" s="176">
        <v>15.16</v>
      </c>
      <c r="E139" s="194">
        <v>3</v>
      </c>
      <c r="F139" s="194">
        <v>0</v>
      </c>
      <c r="G139" s="194">
        <f t="shared" si="111"/>
        <v>3</v>
      </c>
      <c r="H139" s="176"/>
      <c r="I139" s="178" t="str">
        <f t="shared" si="92"/>
        <v>X</v>
      </c>
      <c r="J139" s="176">
        <f t="shared" si="93"/>
        <v>45.480000000000004</v>
      </c>
      <c r="K139" s="178" t="str">
        <f t="shared" si="94"/>
        <v xml:space="preserve"> </v>
      </c>
      <c r="L139" s="176">
        <f t="shared" si="95"/>
        <v>0</v>
      </c>
      <c r="M139" s="178" t="str">
        <f t="shared" si="96"/>
        <v>X</v>
      </c>
      <c r="N139" s="177">
        <f t="shared" si="97"/>
        <v>45.480000000000004</v>
      </c>
      <c r="O139" s="178" t="str">
        <f t="shared" si="98"/>
        <v xml:space="preserve"> </v>
      </c>
      <c r="P139" s="176">
        <f t="shared" si="99"/>
        <v>0</v>
      </c>
      <c r="Q139" s="178" t="s">
        <v>0</v>
      </c>
      <c r="R139" s="176"/>
      <c r="S139" s="178" t="s">
        <v>2578</v>
      </c>
      <c r="T139" s="178" t="str">
        <f t="shared" si="100"/>
        <v>X</v>
      </c>
      <c r="U139" s="176">
        <f t="shared" si="112"/>
        <v>45.480000000000004</v>
      </c>
      <c r="V139" s="178" t="str">
        <f t="shared" si="101"/>
        <v xml:space="preserve"> </v>
      </c>
      <c r="W139" s="176">
        <f t="shared" si="113"/>
        <v>0</v>
      </c>
      <c r="X139" s="178" t="str">
        <f t="shared" si="102"/>
        <v xml:space="preserve"> </v>
      </c>
      <c r="Y139" s="176">
        <f t="shared" si="114"/>
        <v>0</v>
      </c>
      <c r="Z139" s="178" t="s">
        <v>2581</v>
      </c>
      <c r="AA139" s="178" t="str">
        <f t="shared" si="103"/>
        <v>X</v>
      </c>
      <c r="AB139" s="176">
        <f t="shared" si="104"/>
        <v>14.29</v>
      </c>
      <c r="AC139" s="178" t="str">
        <f t="shared" si="105"/>
        <v xml:space="preserve"> </v>
      </c>
      <c r="AD139" s="176">
        <f t="shared" si="106"/>
        <v>0</v>
      </c>
      <c r="AE139" s="178" t="str">
        <f t="shared" si="107"/>
        <v xml:space="preserve"> </v>
      </c>
      <c r="AF139" s="176">
        <f t="shared" si="108"/>
        <v>0</v>
      </c>
      <c r="AG139" s="178" t="str">
        <f t="shared" si="109"/>
        <v>X</v>
      </c>
      <c r="AH139" s="176">
        <f t="shared" si="110"/>
        <v>15.16</v>
      </c>
    </row>
    <row r="140" spans="2:34" ht="16.5" outlineLevel="1" x14ac:dyDescent="0.25">
      <c r="B140" s="175" t="s">
        <v>2690</v>
      </c>
      <c r="C140" s="176">
        <v>131.16</v>
      </c>
      <c r="D140" s="176">
        <v>53.06</v>
      </c>
      <c r="E140" s="194">
        <v>3</v>
      </c>
      <c r="F140" s="194">
        <v>0</v>
      </c>
      <c r="G140" s="194">
        <f t="shared" si="111"/>
        <v>3</v>
      </c>
      <c r="H140" s="176">
        <v>2.75</v>
      </c>
      <c r="I140" s="178" t="str">
        <f t="shared" si="92"/>
        <v>X</v>
      </c>
      <c r="J140" s="176">
        <f t="shared" si="93"/>
        <v>150.93</v>
      </c>
      <c r="K140" s="178" t="str">
        <f t="shared" si="94"/>
        <v xml:space="preserve"> </v>
      </c>
      <c r="L140" s="176">
        <f t="shared" si="95"/>
        <v>0</v>
      </c>
      <c r="M140" s="178" t="str">
        <f t="shared" si="96"/>
        <v>X</v>
      </c>
      <c r="N140" s="177">
        <f t="shared" si="97"/>
        <v>150.93</v>
      </c>
      <c r="O140" s="178" t="str">
        <f t="shared" si="98"/>
        <v xml:space="preserve"> </v>
      </c>
      <c r="P140" s="176">
        <f t="shared" si="99"/>
        <v>0</v>
      </c>
      <c r="Q140" s="178" t="s">
        <v>0</v>
      </c>
      <c r="R140" s="176"/>
      <c r="S140" s="178" t="s">
        <v>2578</v>
      </c>
      <c r="T140" s="178" t="str">
        <f t="shared" si="100"/>
        <v>X</v>
      </c>
      <c r="U140" s="176">
        <f t="shared" si="112"/>
        <v>150.93</v>
      </c>
      <c r="V140" s="178" t="str">
        <f t="shared" si="101"/>
        <v xml:space="preserve"> </v>
      </c>
      <c r="W140" s="176">
        <f t="shared" si="113"/>
        <v>0</v>
      </c>
      <c r="X140" s="178" t="str">
        <f t="shared" si="102"/>
        <v xml:space="preserve"> </v>
      </c>
      <c r="Y140" s="176">
        <f t="shared" si="114"/>
        <v>0</v>
      </c>
      <c r="Z140" s="178" t="s">
        <v>2581</v>
      </c>
      <c r="AA140" s="178" t="str">
        <f t="shared" si="103"/>
        <v>X</v>
      </c>
      <c r="AB140" s="176">
        <f t="shared" si="104"/>
        <v>131.16</v>
      </c>
      <c r="AC140" s="178" t="str">
        <f t="shared" si="105"/>
        <v xml:space="preserve"> </v>
      </c>
      <c r="AD140" s="176">
        <f t="shared" si="106"/>
        <v>0</v>
      </c>
      <c r="AE140" s="178" t="str">
        <f t="shared" si="107"/>
        <v xml:space="preserve"> </v>
      </c>
      <c r="AF140" s="176">
        <f t="shared" si="108"/>
        <v>0</v>
      </c>
      <c r="AG140" s="178" t="str">
        <f t="shared" si="109"/>
        <v>X</v>
      </c>
      <c r="AH140" s="176">
        <f t="shared" si="110"/>
        <v>50.31</v>
      </c>
    </row>
    <row r="141" spans="2:34" ht="16.5" outlineLevel="1" x14ac:dyDescent="0.25">
      <c r="B141" s="175" t="s">
        <v>2691</v>
      </c>
      <c r="C141" s="176">
        <v>23.93</v>
      </c>
      <c r="D141" s="176">
        <v>21.15</v>
      </c>
      <c r="E141" s="194">
        <v>3</v>
      </c>
      <c r="F141" s="194">
        <v>0</v>
      </c>
      <c r="G141" s="194">
        <f t="shared" si="111"/>
        <v>3</v>
      </c>
      <c r="H141" s="176"/>
      <c r="I141" s="178" t="str">
        <f t="shared" si="92"/>
        <v>X</v>
      </c>
      <c r="J141" s="176">
        <f t="shared" si="93"/>
        <v>63.449999999999996</v>
      </c>
      <c r="K141" s="178" t="str">
        <f t="shared" si="94"/>
        <v xml:space="preserve"> </v>
      </c>
      <c r="L141" s="176">
        <f t="shared" ref="L141:L173" si="115">IF(K141="X",($D141-H141)*F141,0)</f>
        <v>0</v>
      </c>
      <c r="M141" s="178" t="str">
        <f t="shared" si="96"/>
        <v>X</v>
      </c>
      <c r="N141" s="177">
        <f t="shared" si="97"/>
        <v>63.449999999999996</v>
      </c>
      <c r="O141" s="178" t="str">
        <f t="shared" si="98"/>
        <v xml:space="preserve"> </v>
      </c>
      <c r="P141" s="176">
        <f t="shared" si="99"/>
        <v>0</v>
      </c>
      <c r="Q141" s="178" t="s">
        <v>0</v>
      </c>
      <c r="R141" s="176"/>
      <c r="S141" s="178" t="s">
        <v>2578</v>
      </c>
      <c r="T141" s="178" t="str">
        <f t="shared" si="100"/>
        <v>X</v>
      </c>
      <c r="U141" s="176">
        <f t="shared" si="112"/>
        <v>63.449999999999996</v>
      </c>
      <c r="V141" s="178" t="str">
        <f t="shared" si="101"/>
        <v xml:space="preserve"> </v>
      </c>
      <c r="W141" s="176">
        <f t="shared" si="113"/>
        <v>0</v>
      </c>
      <c r="X141" s="178" t="str">
        <f t="shared" si="102"/>
        <v xml:space="preserve"> </v>
      </c>
      <c r="Y141" s="176">
        <f t="shared" si="114"/>
        <v>0</v>
      </c>
      <c r="Z141" s="178" t="s">
        <v>2581</v>
      </c>
      <c r="AA141" s="178" t="str">
        <f t="shared" si="103"/>
        <v>X</v>
      </c>
      <c r="AB141" s="176">
        <f t="shared" si="104"/>
        <v>23.93</v>
      </c>
      <c r="AC141" s="178" t="str">
        <f t="shared" si="105"/>
        <v xml:space="preserve"> </v>
      </c>
      <c r="AD141" s="176">
        <f t="shared" si="106"/>
        <v>0</v>
      </c>
      <c r="AE141" s="178" t="str">
        <f t="shared" si="107"/>
        <v xml:space="preserve"> </v>
      </c>
      <c r="AF141" s="176">
        <f t="shared" si="108"/>
        <v>0</v>
      </c>
      <c r="AG141" s="178" t="str">
        <f t="shared" si="109"/>
        <v>X</v>
      </c>
      <c r="AH141" s="176">
        <f t="shared" si="110"/>
        <v>21.15</v>
      </c>
    </row>
    <row r="142" spans="2:34" ht="16.5" outlineLevel="1" x14ac:dyDescent="0.25">
      <c r="B142" s="175" t="s">
        <v>2692</v>
      </c>
      <c r="C142" s="176">
        <v>75.77</v>
      </c>
      <c r="D142" s="176">
        <v>43.27</v>
      </c>
      <c r="E142" s="194">
        <v>3</v>
      </c>
      <c r="F142" s="194">
        <v>0</v>
      </c>
      <c r="G142" s="194">
        <f t="shared" si="111"/>
        <v>3</v>
      </c>
      <c r="H142" s="176">
        <f>2.75*2</f>
        <v>5.5</v>
      </c>
      <c r="I142" s="178" t="str">
        <f t="shared" si="92"/>
        <v>X</v>
      </c>
      <c r="J142" s="176">
        <f t="shared" si="93"/>
        <v>113.31</v>
      </c>
      <c r="K142" s="178" t="str">
        <f t="shared" si="94"/>
        <v xml:space="preserve"> </v>
      </c>
      <c r="L142" s="176">
        <f t="shared" si="115"/>
        <v>0</v>
      </c>
      <c r="M142" s="178" t="str">
        <f t="shared" si="96"/>
        <v>X</v>
      </c>
      <c r="N142" s="177">
        <f t="shared" si="97"/>
        <v>113.31</v>
      </c>
      <c r="O142" s="178" t="str">
        <f t="shared" si="98"/>
        <v xml:space="preserve"> </v>
      </c>
      <c r="P142" s="176">
        <f t="shared" si="99"/>
        <v>0</v>
      </c>
      <c r="Q142" s="178" t="s">
        <v>0</v>
      </c>
      <c r="R142" s="176"/>
      <c r="S142" s="178" t="s">
        <v>2578</v>
      </c>
      <c r="T142" s="178" t="str">
        <f t="shared" si="100"/>
        <v>X</v>
      </c>
      <c r="U142" s="176">
        <f t="shared" si="112"/>
        <v>113.31</v>
      </c>
      <c r="V142" s="178" t="str">
        <f t="shared" si="101"/>
        <v xml:space="preserve"> </v>
      </c>
      <c r="W142" s="176">
        <f t="shared" si="113"/>
        <v>0</v>
      </c>
      <c r="X142" s="178" t="str">
        <f t="shared" si="102"/>
        <v xml:space="preserve"> </v>
      </c>
      <c r="Y142" s="176">
        <f t="shared" si="114"/>
        <v>0</v>
      </c>
      <c r="Z142" s="178" t="s">
        <v>2582</v>
      </c>
      <c r="AA142" s="178" t="str">
        <f t="shared" si="103"/>
        <v xml:space="preserve"> </v>
      </c>
      <c r="AB142" s="176">
        <f t="shared" si="104"/>
        <v>0</v>
      </c>
      <c r="AC142" s="178" t="str">
        <f t="shared" si="105"/>
        <v>X</v>
      </c>
      <c r="AD142" s="176">
        <f t="shared" si="106"/>
        <v>75.77</v>
      </c>
      <c r="AE142" s="178" t="str">
        <f t="shared" si="107"/>
        <v xml:space="preserve"> </v>
      </c>
      <c r="AF142" s="176">
        <f t="shared" si="108"/>
        <v>0</v>
      </c>
      <c r="AG142" s="178" t="str">
        <f t="shared" si="109"/>
        <v>X</v>
      </c>
      <c r="AH142" s="176">
        <f t="shared" si="110"/>
        <v>37.770000000000003</v>
      </c>
    </row>
    <row r="143" spans="2:34" ht="16.5" outlineLevel="1" x14ac:dyDescent="0.25">
      <c r="B143" s="175" t="s">
        <v>2545</v>
      </c>
      <c r="C143" s="176">
        <v>4.13</v>
      </c>
      <c r="D143" s="176">
        <v>8.57</v>
      </c>
      <c r="E143" s="194">
        <v>3</v>
      </c>
      <c r="F143" s="194">
        <v>0</v>
      </c>
      <c r="G143" s="194">
        <f t="shared" si="111"/>
        <v>3</v>
      </c>
      <c r="H143" s="176"/>
      <c r="I143" s="178" t="str">
        <f t="shared" si="92"/>
        <v>X</v>
      </c>
      <c r="J143" s="176">
        <f t="shared" si="93"/>
        <v>25.71</v>
      </c>
      <c r="K143" s="178" t="str">
        <f t="shared" si="94"/>
        <v xml:space="preserve"> </v>
      </c>
      <c r="L143" s="176">
        <f t="shared" si="115"/>
        <v>0</v>
      </c>
      <c r="M143" s="178" t="str">
        <f t="shared" si="96"/>
        <v>X</v>
      </c>
      <c r="N143" s="177">
        <f t="shared" si="97"/>
        <v>25.71</v>
      </c>
      <c r="O143" s="178" t="str">
        <f t="shared" si="98"/>
        <v xml:space="preserve"> </v>
      </c>
      <c r="P143" s="176">
        <f t="shared" si="99"/>
        <v>0</v>
      </c>
      <c r="Q143" s="178" t="s">
        <v>0</v>
      </c>
      <c r="R143" s="176"/>
      <c r="S143" s="178" t="s">
        <v>2578</v>
      </c>
      <c r="T143" s="178" t="str">
        <f t="shared" si="100"/>
        <v>X</v>
      </c>
      <c r="U143" s="176">
        <f t="shared" si="112"/>
        <v>25.71</v>
      </c>
      <c r="V143" s="178" t="str">
        <f t="shared" si="101"/>
        <v xml:space="preserve"> </v>
      </c>
      <c r="W143" s="176">
        <f t="shared" si="113"/>
        <v>0</v>
      </c>
      <c r="X143" s="178" t="str">
        <f t="shared" si="102"/>
        <v xml:space="preserve"> </v>
      </c>
      <c r="Y143" s="176">
        <f t="shared" si="114"/>
        <v>0</v>
      </c>
      <c r="Z143" s="178" t="s">
        <v>2581</v>
      </c>
      <c r="AA143" s="178" t="str">
        <f t="shared" si="103"/>
        <v>X</v>
      </c>
      <c r="AB143" s="176">
        <f t="shared" si="104"/>
        <v>4.13</v>
      </c>
      <c r="AC143" s="178" t="str">
        <f t="shared" si="105"/>
        <v xml:space="preserve"> </v>
      </c>
      <c r="AD143" s="176">
        <f t="shared" si="106"/>
        <v>0</v>
      </c>
      <c r="AE143" s="178" t="str">
        <f t="shared" si="107"/>
        <v xml:space="preserve"> </v>
      </c>
      <c r="AF143" s="176">
        <f t="shared" si="108"/>
        <v>0</v>
      </c>
      <c r="AG143" s="178" t="str">
        <f t="shared" si="109"/>
        <v>X</v>
      </c>
      <c r="AH143" s="176">
        <f t="shared" si="110"/>
        <v>8.57</v>
      </c>
    </row>
    <row r="144" spans="2:34" ht="16.5" outlineLevel="1" x14ac:dyDescent="0.25">
      <c r="B144" s="175" t="s">
        <v>2693</v>
      </c>
      <c r="C144" s="176">
        <v>5.37</v>
      </c>
      <c r="D144" s="176">
        <v>9.44</v>
      </c>
      <c r="E144" s="194">
        <v>3</v>
      </c>
      <c r="F144" s="194">
        <v>0</v>
      </c>
      <c r="G144" s="194">
        <f t="shared" si="111"/>
        <v>3</v>
      </c>
      <c r="H144" s="176"/>
      <c r="I144" s="178" t="str">
        <f t="shared" si="92"/>
        <v>X</v>
      </c>
      <c r="J144" s="176">
        <f t="shared" si="93"/>
        <v>28.32</v>
      </c>
      <c r="K144" s="178" t="str">
        <f t="shared" si="94"/>
        <v xml:space="preserve"> </v>
      </c>
      <c r="L144" s="176">
        <f t="shared" si="115"/>
        <v>0</v>
      </c>
      <c r="M144" s="178" t="str">
        <f t="shared" si="96"/>
        <v>X</v>
      </c>
      <c r="N144" s="177">
        <f t="shared" si="97"/>
        <v>28.32</v>
      </c>
      <c r="O144" s="178" t="str">
        <f t="shared" si="98"/>
        <v xml:space="preserve"> </v>
      </c>
      <c r="P144" s="176">
        <f t="shared" si="99"/>
        <v>0</v>
      </c>
      <c r="Q144" s="178" t="s">
        <v>0</v>
      </c>
      <c r="R144" s="176"/>
      <c r="S144" s="178" t="s">
        <v>2578</v>
      </c>
      <c r="T144" s="178" t="str">
        <f t="shared" si="100"/>
        <v>X</v>
      </c>
      <c r="U144" s="176">
        <f t="shared" si="112"/>
        <v>28.32</v>
      </c>
      <c r="V144" s="178" t="str">
        <f t="shared" si="101"/>
        <v xml:space="preserve"> </v>
      </c>
      <c r="W144" s="176">
        <f t="shared" si="113"/>
        <v>0</v>
      </c>
      <c r="X144" s="178" t="str">
        <f t="shared" si="102"/>
        <v xml:space="preserve"> </v>
      </c>
      <c r="Y144" s="176">
        <f t="shared" si="114"/>
        <v>0</v>
      </c>
      <c r="Z144" s="178" t="s">
        <v>2581</v>
      </c>
      <c r="AA144" s="178" t="str">
        <f t="shared" si="103"/>
        <v>X</v>
      </c>
      <c r="AB144" s="176">
        <f t="shared" si="104"/>
        <v>5.37</v>
      </c>
      <c r="AC144" s="178" t="str">
        <f t="shared" si="105"/>
        <v xml:space="preserve"> </v>
      </c>
      <c r="AD144" s="176">
        <f t="shared" si="106"/>
        <v>0</v>
      </c>
      <c r="AE144" s="178" t="str">
        <f t="shared" si="107"/>
        <v xml:space="preserve"> </v>
      </c>
      <c r="AF144" s="176">
        <f t="shared" si="108"/>
        <v>0</v>
      </c>
      <c r="AG144" s="178" t="str">
        <f t="shared" si="109"/>
        <v>X</v>
      </c>
      <c r="AH144" s="176">
        <f t="shared" si="110"/>
        <v>9.44</v>
      </c>
    </row>
    <row r="145" spans="2:34" ht="16.5" outlineLevel="1" x14ac:dyDescent="0.25">
      <c r="B145" s="175" t="s">
        <v>2694</v>
      </c>
      <c r="C145" s="176">
        <v>3.44</v>
      </c>
      <c r="D145" s="176">
        <v>8.07</v>
      </c>
      <c r="E145" s="194">
        <v>3</v>
      </c>
      <c r="F145" s="194">
        <v>2.1</v>
      </c>
      <c r="G145" s="194">
        <f t="shared" si="111"/>
        <v>0.89999999999999991</v>
      </c>
      <c r="H145" s="176"/>
      <c r="I145" s="178" t="str">
        <f t="shared" si="92"/>
        <v>X</v>
      </c>
      <c r="J145" s="176">
        <f t="shared" si="93"/>
        <v>24.21</v>
      </c>
      <c r="K145" s="178" t="str">
        <f t="shared" si="94"/>
        <v>X</v>
      </c>
      <c r="L145" s="176">
        <f t="shared" si="115"/>
        <v>16.947000000000003</v>
      </c>
      <c r="M145" s="178" t="str">
        <f t="shared" si="96"/>
        <v>X</v>
      </c>
      <c r="N145" s="177">
        <f t="shared" si="97"/>
        <v>7.2629999999999981</v>
      </c>
      <c r="O145" s="178" t="str">
        <f t="shared" si="98"/>
        <v>X</v>
      </c>
      <c r="P145" s="176">
        <f t="shared" si="99"/>
        <v>16.947000000000003</v>
      </c>
      <c r="Q145" s="178" t="s">
        <v>0</v>
      </c>
      <c r="R145" s="176"/>
      <c r="S145" s="178" t="s">
        <v>2578</v>
      </c>
      <c r="T145" s="178" t="str">
        <f t="shared" si="100"/>
        <v>X</v>
      </c>
      <c r="U145" s="176">
        <f t="shared" si="112"/>
        <v>7.2629999999999981</v>
      </c>
      <c r="V145" s="178" t="str">
        <f t="shared" si="101"/>
        <v xml:space="preserve"> </v>
      </c>
      <c r="W145" s="176">
        <f t="shared" si="113"/>
        <v>0</v>
      </c>
      <c r="X145" s="178" t="str">
        <f t="shared" si="102"/>
        <v xml:space="preserve"> </v>
      </c>
      <c r="Y145" s="176">
        <f t="shared" si="114"/>
        <v>0</v>
      </c>
      <c r="Z145" s="178" t="s">
        <v>2581</v>
      </c>
      <c r="AA145" s="178" t="str">
        <f t="shared" si="103"/>
        <v>X</v>
      </c>
      <c r="AB145" s="176">
        <f t="shared" si="104"/>
        <v>3.44</v>
      </c>
      <c r="AC145" s="178" t="str">
        <f t="shared" si="105"/>
        <v xml:space="preserve"> </v>
      </c>
      <c r="AD145" s="176">
        <f t="shared" si="106"/>
        <v>0</v>
      </c>
      <c r="AE145" s="178" t="str">
        <f t="shared" si="107"/>
        <v xml:space="preserve"> </v>
      </c>
      <c r="AF145" s="176">
        <f t="shared" si="108"/>
        <v>0</v>
      </c>
      <c r="AG145" s="178" t="str">
        <f t="shared" si="109"/>
        <v/>
      </c>
      <c r="AH145" s="176">
        <f t="shared" si="110"/>
        <v>0</v>
      </c>
    </row>
    <row r="146" spans="2:34" ht="16.5" outlineLevel="1" x14ac:dyDescent="0.25">
      <c r="B146" s="175" t="s">
        <v>2695</v>
      </c>
      <c r="C146" s="176">
        <v>62.77</v>
      </c>
      <c r="D146" s="176">
        <v>39.450000000000003</v>
      </c>
      <c r="E146" s="194">
        <v>3</v>
      </c>
      <c r="F146" s="194">
        <v>0</v>
      </c>
      <c r="G146" s="194">
        <f t="shared" si="111"/>
        <v>3</v>
      </c>
      <c r="H146" s="176"/>
      <c r="I146" s="178" t="str">
        <f t="shared" si="92"/>
        <v>X</v>
      </c>
      <c r="J146" s="176">
        <f t="shared" si="93"/>
        <v>118.35000000000001</v>
      </c>
      <c r="K146" s="178" t="str">
        <f t="shared" si="94"/>
        <v xml:space="preserve"> </v>
      </c>
      <c r="L146" s="176">
        <f t="shared" si="115"/>
        <v>0</v>
      </c>
      <c r="M146" s="178" t="str">
        <f t="shared" si="96"/>
        <v>X</v>
      </c>
      <c r="N146" s="177">
        <f t="shared" si="97"/>
        <v>118.35000000000001</v>
      </c>
      <c r="O146" s="178" t="str">
        <f t="shared" si="98"/>
        <v xml:space="preserve"> </v>
      </c>
      <c r="P146" s="176">
        <f t="shared" si="99"/>
        <v>0</v>
      </c>
      <c r="Q146" s="178" t="s">
        <v>0</v>
      </c>
      <c r="R146" s="176"/>
      <c r="S146" s="178" t="s">
        <v>2578</v>
      </c>
      <c r="T146" s="178" t="str">
        <f t="shared" si="100"/>
        <v>X</v>
      </c>
      <c r="U146" s="176">
        <f t="shared" si="112"/>
        <v>118.35000000000001</v>
      </c>
      <c r="V146" s="178" t="str">
        <f t="shared" si="101"/>
        <v xml:space="preserve"> </v>
      </c>
      <c r="W146" s="176">
        <f t="shared" si="113"/>
        <v>0</v>
      </c>
      <c r="X146" s="178" t="str">
        <f t="shared" si="102"/>
        <v xml:space="preserve"> </v>
      </c>
      <c r="Y146" s="176">
        <f t="shared" si="114"/>
        <v>0</v>
      </c>
      <c r="Z146" s="178" t="s">
        <v>2581</v>
      </c>
      <c r="AA146" s="178" t="str">
        <f t="shared" si="103"/>
        <v>X</v>
      </c>
      <c r="AB146" s="176">
        <f t="shared" si="104"/>
        <v>62.77</v>
      </c>
      <c r="AC146" s="178" t="str">
        <f t="shared" si="105"/>
        <v xml:space="preserve"> </v>
      </c>
      <c r="AD146" s="176">
        <f t="shared" si="106"/>
        <v>0</v>
      </c>
      <c r="AE146" s="178" t="str">
        <f t="shared" si="107"/>
        <v xml:space="preserve"> </v>
      </c>
      <c r="AF146" s="176">
        <f t="shared" si="108"/>
        <v>0</v>
      </c>
      <c r="AG146" s="178" t="str">
        <f t="shared" si="109"/>
        <v>X</v>
      </c>
      <c r="AH146" s="176">
        <f t="shared" si="110"/>
        <v>39.450000000000003</v>
      </c>
    </row>
    <row r="147" spans="2:34" ht="16.5" outlineLevel="1" x14ac:dyDescent="0.25">
      <c r="B147" s="175" t="s">
        <v>2696</v>
      </c>
      <c r="C147" s="176">
        <v>153.26</v>
      </c>
      <c r="D147" s="176">
        <v>68.150000000000006</v>
      </c>
      <c r="E147" s="194">
        <v>3</v>
      </c>
      <c r="F147" s="194">
        <v>0</v>
      </c>
      <c r="G147" s="194">
        <f t="shared" si="111"/>
        <v>3</v>
      </c>
      <c r="H147" s="176"/>
      <c r="I147" s="178" t="str">
        <f t="shared" si="92"/>
        <v>X</v>
      </c>
      <c r="J147" s="176">
        <f t="shared" si="93"/>
        <v>204.45000000000002</v>
      </c>
      <c r="K147" s="178" t="str">
        <f t="shared" si="94"/>
        <v xml:space="preserve"> </v>
      </c>
      <c r="L147" s="176">
        <f t="shared" si="115"/>
        <v>0</v>
      </c>
      <c r="M147" s="178" t="str">
        <f t="shared" si="96"/>
        <v>X</v>
      </c>
      <c r="N147" s="177">
        <f t="shared" si="97"/>
        <v>204.45000000000002</v>
      </c>
      <c r="O147" s="178" t="str">
        <f t="shared" si="98"/>
        <v xml:space="preserve"> </v>
      </c>
      <c r="P147" s="176">
        <f t="shared" si="99"/>
        <v>0</v>
      </c>
      <c r="Q147" s="178" t="s">
        <v>0</v>
      </c>
      <c r="R147" s="176"/>
      <c r="S147" s="178" t="s">
        <v>2578</v>
      </c>
      <c r="T147" s="178" t="str">
        <f t="shared" si="100"/>
        <v>X</v>
      </c>
      <c r="U147" s="176">
        <f t="shared" si="112"/>
        <v>204.45000000000002</v>
      </c>
      <c r="V147" s="178" t="str">
        <f t="shared" si="101"/>
        <v xml:space="preserve"> </v>
      </c>
      <c r="W147" s="176">
        <f t="shared" si="113"/>
        <v>0</v>
      </c>
      <c r="X147" s="178" t="str">
        <f t="shared" si="102"/>
        <v xml:space="preserve"> </v>
      </c>
      <c r="Y147" s="176">
        <f t="shared" si="114"/>
        <v>0</v>
      </c>
      <c r="Z147" s="178" t="s">
        <v>2581</v>
      </c>
      <c r="AA147" s="178" t="str">
        <f t="shared" si="103"/>
        <v>X</v>
      </c>
      <c r="AB147" s="176">
        <f t="shared" si="104"/>
        <v>153.26</v>
      </c>
      <c r="AC147" s="178" t="str">
        <f t="shared" si="105"/>
        <v xml:space="preserve"> </v>
      </c>
      <c r="AD147" s="176">
        <f t="shared" si="106"/>
        <v>0</v>
      </c>
      <c r="AE147" s="178" t="str">
        <f t="shared" si="107"/>
        <v xml:space="preserve"> </v>
      </c>
      <c r="AF147" s="176">
        <f t="shared" si="108"/>
        <v>0</v>
      </c>
      <c r="AG147" s="178" t="str">
        <f t="shared" si="109"/>
        <v>X</v>
      </c>
      <c r="AH147" s="176">
        <f t="shared" si="110"/>
        <v>68.150000000000006</v>
      </c>
    </row>
    <row r="148" spans="2:34" ht="16.5" outlineLevel="1" x14ac:dyDescent="0.25">
      <c r="B148" s="175" t="s">
        <v>2697</v>
      </c>
      <c r="C148" s="176">
        <f>17.15-0.64</f>
        <v>16.509999999999998</v>
      </c>
      <c r="D148" s="176">
        <f>16.57*2</f>
        <v>33.14</v>
      </c>
      <c r="E148" s="194">
        <v>3</v>
      </c>
      <c r="F148" s="194">
        <v>0</v>
      </c>
      <c r="G148" s="194">
        <f t="shared" si="111"/>
        <v>3</v>
      </c>
      <c r="H148" s="176"/>
      <c r="I148" s="178" t="str">
        <f t="shared" si="92"/>
        <v>X</v>
      </c>
      <c r="J148" s="176">
        <f t="shared" si="93"/>
        <v>99.42</v>
      </c>
      <c r="K148" s="178" t="str">
        <f t="shared" si="94"/>
        <v xml:space="preserve"> </v>
      </c>
      <c r="L148" s="176">
        <f t="shared" si="115"/>
        <v>0</v>
      </c>
      <c r="M148" s="178" t="str">
        <f t="shared" si="96"/>
        <v>X</v>
      </c>
      <c r="N148" s="177">
        <f t="shared" si="97"/>
        <v>99.42</v>
      </c>
      <c r="O148" s="178" t="str">
        <f t="shared" si="98"/>
        <v xml:space="preserve"> </v>
      </c>
      <c r="P148" s="176">
        <f t="shared" si="99"/>
        <v>0</v>
      </c>
      <c r="Q148" s="178" t="s">
        <v>0</v>
      </c>
      <c r="R148" s="176"/>
      <c r="S148" s="178" t="s">
        <v>2578</v>
      </c>
      <c r="T148" s="178" t="str">
        <f t="shared" si="100"/>
        <v>X</v>
      </c>
      <c r="U148" s="176">
        <f t="shared" si="112"/>
        <v>99.42</v>
      </c>
      <c r="V148" s="178" t="str">
        <f t="shared" si="101"/>
        <v xml:space="preserve"> </v>
      </c>
      <c r="W148" s="176">
        <f t="shared" si="113"/>
        <v>0</v>
      </c>
      <c r="X148" s="178" t="str">
        <f t="shared" si="102"/>
        <v xml:space="preserve"> </v>
      </c>
      <c r="Y148" s="176">
        <f t="shared" si="114"/>
        <v>0</v>
      </c>
      <c r="Z148" s="178" t="s">
        <v>2581</v>
      </c>
      <c r="AA148" s="178" t="str">
        <f t="shared" si="103"/>
        <v>X</v>
      </c>
      <c r="AB148" s="176">
        <f t="shared" si="104"/>
        <v>16.509999999999998</v>
      </c>
      <c r="AC148" s="178" t="str">
        <f t="shared" si="105"/>
        <v xml:space="preserve"> </v>
      </c>
      <c r="AD148" s="176">
        <f t="shared" si="106"/>
        <v>0</v>
      </c>
      <c r="AE148" s="178" t="str">
        <f t="shared" si="107"/>
        <v xml:space="preserve"> </v>
      </c>
      <c r="AF148" s="176">
        <f t="shared" si="108"/>
        <v>0</v>
      </c>
      <c r="AG148" s="178" t="str">
        <f t="shared" si="109"/>
        <v>X</v>
      </c>
      <c r="AH148" s="176">
        <f t="shared" si="110"/>
        <v>33.14</v>
      </c>
    </row>
    <row r="149" spans="2:34" ht="16.5" outlineLevel="1" x14ac:dyDescent="0.25">
      <c r="B149" s="175" t="s">
        <v>2698</v>
      </c>
      <c r="C149" s="176">
        <v>17.079999999999998</v>
      </c>
      <c r="D149" s="176">
        <v>17.670000000000002</v>
      </c>
      <c r="E149" s="194">
        <v>3</v>
      </c>
      <c r="F149" s="194">
        <v>0</v>
      </c>
      <c r="G149" s="194">
        <f t="shared" si="111"/>
        <v>3</v>
      </c>
      <c r="H149" s="176"/>
      <c r="I149" s="178" t="str">
        <f t="shared" si="92"/>
        <v>X</v>
      </c>
      <c r="J149" s="176">
        <f t="shared" si="93"/>
        <v>53.010000000000005</v>
      </c>
      <c r="K149" s="178" t="str">
        <f t="shared" si="94"/>
        <v xml:space="preserve"> </v>
      </c>
      <c r="L149" s="176">
        <f t="shared" si="115"/>
        <v>0</v>
      </c>
      <c r="M149" s="178" t="str">
        <f t="shared" si="96"/>
        <v>X</v>
      </c>
      <c r="N149" s="177">
        <f t="shared" si="97"/>
        <v>53.010000000000005</v>
      </c>
      <c r="O149" s="178" t="str">
        <f t="shared" si="98"/>
        <v xml:space="preserve"> </v>
      </c>
      <c r="P149" s="176">
        <f t="shared" si="99"/>
        <v>0</v>
      </c>
      <c r="Q149" s="178" t="s">
        <v>0</v>
      </c>
      <c r="R149" s="176"/>
      <c r="S149" s="178" t="s">
        <v>2578</v>
      </c>
      <c r="T149" s="178" t="str">
        <f t="shared" si="100"/>
        <v>X</v>
      </c>
      <c r="U149" s="176">
        <f t="shared" si="112"/>
        <v>53.010000000000005</v>
      </c>
      <c r="V149" s="178" t="str">
        <f t="shared" si="101"/>
        <v xml:space="preserve"> </v>
      </c>
      <c r="W149" s="176">
        <f t="shared" si="113"/>
        <v>0</v>
      </c>
      <c r="X149" s="178" t="str">
        <f t="shared" si="102"/>
        <v xml:space="preserve"> </v>
      </c>
      <c r="Y149" s="176">
        <f t="shared" si="114"/>
        <v>0</v>
      </c>
      <c r="Z149" s="178" t="s">
        <v>2581</v>
      </c>
      <c r="AA149" s="178" t="str">
        <f t="shared" si="103"/>
        <v>X</v>
      </c>
      <c r="AB149" s="176">
        <f t="shared" si="104"/>
        <v>17.079999999999998</v>
      </c>
      <c r="AC149" s="178" t="str">
        <f t="shared" si="105"/>
        <v xml:space="preserve"> </v>
      </c>
      <c r="AD149" s="176">
        <f t="shared" si="106"/>
        <v>0</v>
      </c>
      <c r="AE149" s="178" t="str">
        <f t="shared" si="107"/>
        <v xml:space="preserve"> </v>
      </c>
      <c r="AF149" s="176">
        <f t="shared" si="108"/>
        <v>0</v>
      </c>
      <c r="AG149" s="178" t="str">
        <f t="shared" si="109"/>
        <v>X</v>
      </c>
      <c r="AH149" s="176">
        <f t="shared" si="110"/>
        <v>17.670000000000002</v>
      </c>
    </row>
    <row r="150" spans="2:34" ht="16.5" outlineLevel="1" x14ac:dyDescent="0.25">
      <c r="B150" s="175" t="s">
        <v>2591</v>
      </c>
      <c r="C150" s="176">
        <v>2</v>
      </c>
      <c r="D150" s="176">
        <v>6</v>
      </c>
      <c r="E150" s="194">
        <v>3</v>
      </c>
      <c r="F150" s="194">
        <v>2.1</v>
      </c>
      <c r="G150" s="194">
        <f t="shared" si="111"/>
        <v>0.89999999999999991</v>
      </c>
      <c r="H150" s="176"/>
      <c r="I150" s="178" t="str">
        <f t="shared" si="92"/>
        <v>X</v>
      </c>
      <c r="J150" s="176">
        <f t="shared" si="93"/>
        <v>18</v>
      </c>
      <c r="K150" s="178" t="str">
        <f t="shared" si="94"/>
        <v>X</v>
      </c>
      <c r="L150" s="176">
        <f t="shared" si="115"/>
        <v>12.600000000000001</v>
      </c>
      <c r="M150" s="178" t="str">
        <f t="shared" si="96"/>
        <v>X</v>
      </c>
      <c r="N150" s="177">
        <f t="shared" si="97"/>
        <v>5.3999999999999986</v>
      </c>
      <c r="O150" s="178" t="str">
        <f t="shared" si="98"/>
        <v>X</v>
      </c>
      <c r="P150" s="176">
        <f t="shared" si="99"/>
        <v>12.600000000000001</v>
      </c>
      <c r="Q150" s="178" t="s">
        <v>0</v>
      </c>
      <c r="R150" s="176"/>
      <c r="S150" s="178" t="s">
        <v>2578</v>
      </c>
      <c r="T150" s="178" t="str">
        <f t="shared" si="100"/>
        <v>X</v>
      </c>
      <c r="U150" s="176">
        <f t="shared" si="112"/>
        <v>5.3999999999999986</v>
      </c>
      <c r="V150" s="178" t="str">
        <f t="shared" si="101"/>
        <v xml:space="preserve"> </v>
      </c>
      <c r="W150" s="176">
        <f t="shared" si="113"/>
        <v>0</v>
      </c>
      <c r="X150" s="178" t="str">
        <f t="shared" si="102"/>
        <v xml:space="preserve"> </v>
      </c>
      <c r="Y150" s="176">
        <f t="shared" si="114"/>
        <v>0</v>
      </c>
      <c r="Z150" s="178" t="s">
        <v>2581</v>
      </c>
      <c r="AA150" s="178" t="str">
        <f t="shared" si="103"/>
        <v>X</v>
      </c>
      <c r="AB150" s="176">
        <f t="shared" si="104"/>
        <v>2</v>
      </c>
      <c r="AC150" s="178" t="str">
        <f t="shared" si="105"/>
        <v xml:space="preserve"> </v>
      </c>
      <c r="AD150" s="176">
        <f t="shared" si="106"/>
        <v>0</v>
      </c>
      <c r="AE150" s="178" t="str">
        <f t="shared" si="107"/>
        <v xml:space="preserve"> </v>
      </c>
      <c r="AF150" s="176">
        <f t="shared" si="108"/>
        <v>0</v>
      </c>
      <c r="AG150" s="178" t="str">
        <f t="shared" si="109"/>
        <v/>
      </c>
      <c r="AH150" s="176">
        <f t="shared" si="110"/>
        <v>0</v>
      </c>
    </row>
    <row r="151" spans="2:34" ht="16.5" outlineLevel="1" x14ac:dyDescent="0.25">
      <c r="B151" s="175" t="s">
        <v>2699</v>
      </c>
      <c r="C151" s="176">
        <v>15.4</v>
      </c>
      <c r="D151" s="176">
        <v>18.7</v>
      </c>
      <c r="E151" s="194">
        <v>3</v>
      </c>
      <c r="F151" s="194">
        <v>0</v>
      </c>
      <c r="G151" s="194">
        <f t="shared" si="111"/>
        <v>3</v>
      </c>
      <c r="H151" s="176"/>
      <c r="I151" s="178" t="str">
        <f t="shared" si="92"/>
        <v>X</v>
      </c>
      <c r="J151" s="176">
        <f t="shared" si="93"/>
        <v>56.099999999999994</v>
      </c>
      <c r="K151" s="178" t="str">
        <f t="shared" si="94"/>
        <v xml:space="preserve"> </v>
      </c>
      <c r="L151" s="176">
        <f t="shared" si="115"/>
        <v>0</v>
      </c>
      <c r="M151" s="178" t="str">
        <f t="shared" si="96"/>
        <v>X</v>
      </c>
      <c r="N151" s="177">
        <f t="shared" si="97"/>
        <v>56.099999999999994</v>
      </c>
      <c r="O151" s="178" t="str">
        <f t="shared" si="98"/>
        <v xml:space="preserve"> </v>
      </c>
      <c r="P151" s="176">
        <f t="shared" si="99"/>
        <v>0</v>
      </c>
      <c r="Q151" s="178" t="s">
        <v>0</v>
      </c>
      <c r="R151" s="176"/>
      <c r="S151" s="178" t="s">
        <v>2578</v>
      </c>
      <c r="T151" s="178" t="str">
        <f t="shared" si="100"/>
        <v>X</v>
      </c>
      <c r="U151" s="176">
        <f t="shared" si="112"/>
        <v>56.099999999999994</v>
      </c>
      <c r="V151" s="178" t="str">
        <f t="shared" si="101"/>
        <v xml:space="preserve"> </v>
      </c>
      <c r="W151" s="176">
        <f t="shared" si="113"/>
        <v>0</v>
      </c>
      <c r="X151" s="178" t="str">
        <f t="shared" si="102"/>
        <v xml:space="preserve"> </v>
      </c>
      <c r="Y151" s="176">
        <f t="shared" si="114"/>
        <v>0</v>
      </c>
      <c r="Z151" s="178" t="s">
        <v>2581</v>
      </c>
      <c r="AA151" s="178" t="str">
        <f t="shared" si="103"/>
        <v>X</v>
      </c>
      <c r="AB151" s="176">
        <f t="shared" si="104"/>
        <v>15.4</v>
      </c>
      <c r="AC151" s="178" t="str">
        <f t="shared" si="105"/>
        <v xml:space="preserve"> </v>
      </c>
      <c r="AD151" s="176">
        <f t="shared" si="106"/>
        <v>0</v>
      </c>
      <c r="AE151" s="178" t="str">
        <f t="shared" si="107"/>
        <v xml:space="preserve"> </v>
      </c>
      <c r="AF151" s="176">
        <f t="shared" si="108"/>
        <v>0</v>
      </c>
      <c r="AG151" s="178" t="str">
        <f t="shared" si="109"/>
        <v>X</v>
      </c>
      <c r="AH151" s="176">
        <f t="shared" si="110"/>
        <v>18.7</v>
      </c>
    </row>
    <row r="152" spans="2:34" ht="16.5" outlineLevel="1" x14ac:dyDescent="0.25">
      <c r="B152" s="175" t="s">
        <v>2700</v>
      </c>
      <c r="C152" s="176">
        <v>2.64</v>
      </c>
      <c r="D152" s="176">
        <v>6.8</v>
      </c>
      <c r="E152" s="194">
        <v>3</v>
      </c>
      <c r="F152" s="194">
        <v>2.1</v>
      </c>
      <c r="G152" s="194">
        <f t="shared" si="111"/>
        <v>0.89999999999999991</v>
      </c>
      <c r="H152" s="176"/>
      <c r="I152" s="178" t="str">
        <f t="shared" si="92"/>
        <v>X</v>
      </c>
      <c r="J152" s="176">
        <f t="shared" si="93"/>
        <v>20.399999999999999</v>
      </c>
      <c r="K152" s="178" t="str">
        <f t="shared" si="94"/>
        <v>X</v>
      </c>
      <c r="L152" s="176">
        <f t="shared" si="115"/>
        <v>14.28</v>
      </c>
      <c r="M152" s="178" t="str">
        <f t="shared" si="96"/>
        <v>X</v>
      </c>
      <c r="N152" s="177">
        <f t="shared" si="97"/>
        <v>6.1199999999999992</v>
      </c>
      <c r="O152" s="178" t="str">
        <f t="shared" si="98"/>
        <v>X</v>
      </c>
      <c r="P152" s="176">
        <f t="shared" si="99"/>
        <v>14.28</v>
      </c>
      <c r="Q152" s="178" t="s">
        <v>0</v>
      </c>
      <c r="R152" s="176"/>
      <c r="S152" s="178" t="s">
        <v>2578</v>
      </c>
      <c r="T152" s="178" t="str">
        <f t="shared" si="100"/>
        <v>X</v>
      </c>
      <c r="U152" s="176">
        <f t="shared" si="112"/>
        <v>6.1199999999999992</v>
      </c>
      <c r="V152" s="178" t="str">
        <f t="shared" si="101"/>
        <v xml:space="preserve"> </v>
      </c>
      <c r="W152" s="176">
        <f t="shared" si="113"/>
        <v>0</v>
      </c>
      <c r="X152" s="178" t="str">
        <f t="shared" si="102"/>
        <v xml:space="preserve"> </v>
      </c>
      <c r="Y152" s="176">
        <f t="shared" si="114"/>
        <v>0</v>
      </c>
      <c r="Z152" s="178" t="s">
        <v>2581</v>
      </c>
      <c r="AA152" s="178" t="str">
        <f t="shared" si="103"/>
        <v>X</v>
      </c>
      <c r="AB152" s="176">
        <f t="shared" si="104"/>
        <v>2.64</v>
      </c>
      <c r="AC152" s="178" t="str">
        <f t="shared" si="105"/>
        <v xml:space="preserve"> </v>
      </c>
      <c r="AD152" s="176">
        <f t="shared" si="106"/>
        <v>0</v>
      </c>
      <c r="AE152" s="178" t="str">
        <f t="shared" si="107"/>
        <v xml:space="preserve"> </v>
      </c>
      <c r="AF152" s="176">
        <f t="shared" si="108"/>
        <v>0</v>
      </c>
      <c r="AG152" s="178" t="str">
        <f t="shared" si="109"/>
        <v/>
      </c>
      <c r="AH152" s="176">
        <f t="shared" si="110"/>
        <v>0</v>
      </c>
    </row>
    <row r="153" spans="2:34" ht="16.5" outlineLevel="1" x14ac:dyDescent="0.25">
      <c r="B153" s="175" t="s">
        <v>2701</v>
      </c>
      <c r="C153" s="176">
        <v>2.64</v>
      </c>
      <c r="D153" s="176">
        <v>6.8</v>
      </c>
      <c r="E153" s="194">
        <v>3</v>
      </c>
      <c r="F153" s="194">
        <v>2.1</v>
      </c>
      <c r="G153" s="194">
        <f t="shared" si="111"/>
        <v>0.89999999999999991</v>
      </c>
      <c r="H153" s="176"/>
      <c r="I153" s="178" t="str">
        <f t="shared" si="92"/>
        <v>X</v>
      </c>
      <c r="J153" s="176">
        <f t="shared" si="93"/>
        <v>20.399999999999999</v>
      </c>
      <c r="K153" s="178" t="str">
        <f t="shared" si="94"/>
        <v>X</v>
      </c>
      <c r="L153" s="176">
        <f t="shared" si="115"/>
        <v>14.28</v>
      </c>
      <c r="M153" s="178" t="str">
        <f t="shared" si="96"/>
        <v>X</v>
      </c>
      <c r="N153" s="177">
        <f t="shared" si="97"/>
        <v>6.1199999999999992</v>
      </c>
      <c r="O153" s="178" t="str">
        <f t="shared" si="98"/>
        <v>X</v>
      </c>
      <c r="P153" s="176">
        <f t="shared" si="99"/>
        <v>14.28</v>
      </c>
      <c r="Q153" s="178" t="s">
        <v>0</v>
      </c>
      <c r="R153" s="176"/>
      <c r="S153" s="178" t="s">
        <v>2578</v>
      </c>
      <c r="T153" s="178" t="str">
        <f t="shared" si="100"/>
        <v>X</v>
      </c>
      <c r="U153" s="176">
        <f t="shared" si="112"/>
        <v>6.1199999999999992</v>
      </c>
      <c r="V153" s="178" t="str">
        <f t="shared" si="101"/>
        <v xml:space="preserve"> </v>
      </c>
      <c r="W153" s="176">
        <f t="shared" si="113"/>
        <v>0</v>
      </c>
      <c r="X153" s="178" t="str">
        <f t="shared" si="102"/>
        <v xml:space="preserve"> </v>
      </c>
      <c r="Y153" s="176">
        <f t="shared" si="114"/>
        <v>0</v>
      </c>
      <c r="Z153" s="178" t="s">
        <v>2581</v>
      </c>
      <c r="AA153" s="178" t="str">
        <f t="shared" si="103"/>
        <v>X</v>
      </c>
      <c r="AB153" s="176">
        <f t="shared" si="104"/>
        <v>2.64</v>
      </c>
      <c r="AC153" s="178" t="str">
        <f t="shared" si="105"/>
        <v xml:space="preserve"> </v>
      </c>
      <c r="AD153" s="176">
        <f t="shared" si="106"/>
        <v>0</v>
      </c>
      <c r="AE153" s="178" t="str">
        <f t="shared" si="107"/>
        <v xml:space="preserve"> </v>
      </c>
      <c r="AF153" s="176">
        <f t="shared" si="108"/>
        <v>0</v>
      </c>
      <c r="AG153" s="178" t="str">
        <f t="shared" si="109"/>
        <v/>
      </c>
      <c r="AH153" s="176">
        <f t="shared" si="110"/>
        <v>0</v>
      </c>
    </row>
    <row r="154" spans="2:34" ht="16.5" outlineLevel="1" x14ac:dyDescent="0.25">
      <c r="B154" s="175" t="s">
        <v>2702</v>
      </c>
      <c r="C154" s="176">
        <v>5.76</v>
      </c>
      <c r="D154" s="176">
        <v>11.9</v>
      </c>
      <c r="E154" s="194">
        <v>3</v>
      </c>
      <c r="F154" s="194">
        <v>0</v>
      </c>
      <c r="G154" s="194">
        <f t="shared" si="111"/>
        <v>3</v>
      </c>
      <c r="H154" s="176"/>
      <c r="I154" s="178" t="str">
        <f t="shared" si="92"/>
        <v>X</v>
      </c>
      <c r="J154" s="176">
        <f t="shared" si="93"/>
        <v>35.700000000000003</v>
      </c>
      <c r="K154" s="178" t="str">
        <f t="shared" si="94"/>
        <v xml:space="preserve"> </v>
      </c>
      <c r="L154" s="176">
        <f t="shared" si="115"/>
        <v>0</v>
      </c>
      <c r="M154" s="178" t="str">
        <f t="shared" si="96"/>
        <v>X</v>
      </c>
      <c r="N154" s="177">
        <f t="shared" si="97"/>
        <v>35.700000000000003</v>
      </c>
      <c r="O154" s="178" t="str">
        <f t="shared" si="98"/>
        <v xml:space="preserve"> </v>
      </c>
      <c r="P154" s="176">
        <f t="shared" si="99"/>
        <v>0</v>
      </c>
      <c r="Q154" s="178" t="s">
        <v>0</v>
      </c>
      <c r="R154" s="176"/>
      <c r="S154" s="178" t="s">
        <v>2578</v>
      </c>
      <c r="T154" s="178" t="str">
        <f t="shared" si="100"/>
        <v>X</v>
      </c>
      <c r="U154" s="176">
        <f t="shared" si="112"/>
        <v>35.700000000000003</v>
      </c>
      <c r="V154" s="178" t="str">
        <f t="shared" si="101"/>
        <v xml:space="preserve"> </v>
      </c>
      <c r="W154" s="176">
        <f t="shared" si="113"/>
        <v>0</v>
      </c>
      <c r="X154" s="178" t="str">
        <f t="shared" si="102"/>
        <v xml:space="preserve"> </v>
      </c>
      <c r="Y154" s="176">
        <f t="shared" si="114"/>
        <v>0</v>
      </c>
      <c r="Z154" s="178" t="s">
        <v>2581</v>
      </c>
      <c r="AA154" s="178" t="str">
        <f t="shared" si="103"/>
        <v>X</v>
      </c>
      <c r="AB154" s="176">
        <f t="shared" si="104"/>
        <v>5.76</v>
      </c>
      <c r="AC154" s="178" t="str">
        <f t="shared" si="105"/>
        <v xml:space="preserve"> </v>
      </c>
      <c r="AD154" s="176">
        <f t="shared" si="106"/>
        <v>0</v>
      </c>
      <c r="AE154" s="178" t="str">
        <f t="shared" si="107"/>
        <v xml:space="preserve"> </v>
      </c>
      <c r="AF154" s="176">
        <f t="shared" si="108"/>
        <v>0</v>
      </c>
      <c r="AG154" s="178" t="str">
        <f t="shared" si="109"/>
        <v>X</v>
      </c>
      <c r="AH154" s="176">
        <f t="shared" si="110"/>
        <v>11.9</v>
      </c>
    </row>
    <row r="155" spans="2:34" ht="16.5" outlineLevel="1" x14ac:dyDescent="0.25">
      <c r="B155" s="175" t="s">
        <v>2703</v>
      </c>
      <c r="C155" s="176">
        <v>3.4</v>
      </c>
      <c r="D155" s="176">
        <v>7.4</v>
      </c>
      <c r="E155" s="194">
        <v>3</v>
      </c>
      <c r="F155" s="194">
        <v>2.1</v>
      </c>
      <c r="G155" s="194">
        <f t="shared" si="111"/>
        <v>0.89999999999999991</v>
      </c>
      <c r="H155" s="176"/>
      <c r="I155" s="178" t="str">
        <f t="shared" si="92"/>
        <v>X</v>
      </c>
      <c r="J155" s="176">
        <f t="shared" si="93"/>
        <v>22.200000000000003</v>
      </c>
      <c r="K155" s="178" t="str">
        <f t="shared" si="94"/>
        <v>X</v>
      </c>
      <c r="L155" s="176">
        <f t="shared" si="115"/>
        <v>15.540000000000001</v>
      </c>
      <c r="M155" s="178" t="str">
        <f t="shared" si="96"/>
        <v>X</v>
      </c>
      <c r="N155" s="177">
        <f t="shared" si="97"/>
        <v>6.6600000000000019</v>
      </c>
      <c r="O155" s="178" t="str">
        <f t="shared" si="98"/>
        <v>X</v>
      </c>
      <c r="P155" s="176">
        <f t="shared" si="99"/>
        <v>15.540000000000001</v>
      </c>
      <c r="Q155" s="178" t="s">
        <v>0</v>
      </c>
      <c r="R155" s="176"/>
      <c r="S155" s="178" t="s">
        <v>2578</v>
      </c>
      <c r="T155" s="178" t="str">
        <f t="shared" si="100"/>
        <v>X</v>
      </c>
      <c r="U155" s="176">
        <f t="shared" si="112"/>
        <v>6.6600000000000019</v>
      </c>
      <c r="V155" s="178" t="str">
        <f t="shared" si="101"/>
        <v xml:space="preserve"> </v>
      </c>
      <c r="W155" s="176">
        <f t="shared" si="113"/>
        <v>0</v>
      </c>
      <c r="X155" s="178" t="str">
        <f t="shared" si="102"/>
        <v xml:space="preserve"> </v>
      </c>
      <c r="Y155" s="176">
        <f t="shared" si="114"/>
        <v>0</v>
      </c>
      <c r="Z155" s="178" t="s">
        <v>2581</v>
      </c>
      <c r="AA155" s="178" t="str">
        <f t="shared" si="103"/>
        <v>X</v>
      </c>
      <c r="AB155" s="176">
        <f t="shared" si="104"/>
        <v>3.4</v>
      </c>
      <c r="AC155" s="178" t="str">
        <f t="shared" si="105"/>
        <v xml:space="preserve"> </v>
      </c>
      <c r="AD155" s="176">
        <f t="shared" si="106"/>
        <v>0</v>
      </c>
      <c r="AE155" s="178" t="str">
        <f t="shared" si="107"/>
        <v xml:space="preserve"> </v>
      </c>
      <c r="AF155" s="176">
        <f t="shared" si="108"/>
        <v>0</v>
      </c>
      <c r="AG155" s="178" t="str">
        <f t="shared" si="109"/>
        <v/>
      </c>
      <c r="AH155" s="176">
        <f t="shared" si="110"/>
        <v>0</v>
      </c>
    </row>
    <row r="156" spans="2:34" ht="16.5" outlineLevel="1" x14ac:dyDescent="0.25">
      <c r="B156" s="175" t="s">
        <v>2704</v>
      </c>
      <c r="C156" s="176">
        <v>3.4</v>
      </c>
      <c r="D156" s="176">
        <v>7.4</v>
      </c>
      <c r="E156" s="194">
        <v>3</v>
      </c>
      <c r="F156" s="194">
        <v>2.1</v>
      </c>
      <c r="G156" s="194">
        <f t="shared" si="111"/>
        <v>0.89999999999999991</v>
      </c>
      <c r="H156" s="176"/>
      <c r="I156" s="178" t="str">
        <f t="shared" si="92"/>
        <v>X</v>
      </c>
      <c r="J156" s="176">
        <f t="shared" si="93"/>
        <v>22.200000000000003</v>
      </c>
      <c r="K156" s="178" t="str">
        <f t="shared" si="94"/>
        <v>X</v>
      </c>
      <c r="L156" s="176">
        <f t="shared" si="115"/>
        <v>15.540000000000001</v>
      </c>
      <c r="M156" s="178" t="str">
        <f t="shared" si="96"/>
        <v>X</v>
      </c>
      <c r="N156" s="177">
        <f t="shared" si="97"/>
        <v>6.6600000000000019</v>
      </c>
      <c r="O156" s="178" t="str">
        <f t="shared" si="98"/>
        <v>X</v>
      </c>
      <c r="P156" s="176">
        <f t="shared" si="99"/>
        <v>15.540000000000001</v>
      </c>
      <c r="Q156" s="178" t="s">
        <v>0</v>
      </c>
      <c r="R156" s="176"/>
      <c r="S156" s="178" t="s">
        <v>2578</v>
      </c>
      <c r="T156" s="178" t="str">
        <f t="shared" si="100"/>
        <v>X</v>
      </c>
      <c r="U156" s="176">
        <f t="shared" si="112"/>
        <v>6.6600000000000019</v>
      </c>
      <c r="V156" s="178" t="str">
        <f t="shared" si="101"/>
        <v xml:space="preserve"> </v>
      </c>
      <c r="W156" s="176">
        <f t="shared" si="113"/>
        <v>0</v>
      </c>
      <c r="X156" s="178" t="str">
        <f t="shared" si="102"/>
        <v xml:space="preserve"> </v>
      </c>
      <c r="Y156" s="176">
        <f t="shared" si="114"/>
        <v>0</v>
      </c>
      <c r="Z156" s="178" t="s">
        <v>2581</v>
      </c>
      <c r="AA156" s="178" t="str">
        <f t="shared" si="103"/>
        <v>X</v>
      </c>
      <c r="AB156" s="176">
        <f t="shared" si="104"/>
        <v>3.4</v>
      </c>
      <c r="AC156" s="178" t="str">
        <f t="shared" si="105"/>
        <v xml:space="preserve"> </v>
      </c>
      <c r="AD156" s="176">
        <f t="shared" si="106"/>
        <v>0</v>
      </c>
      <c r="AE156" s="178" t="str">
        <f t="shared" si="107"/>
        <v xml:space="preserve"> </v>
      </c>
      <c r="AF156" s="176">
        <f t="shared" si="108"/>
        <v>0</v>
      </c>
      <c r="AG156" s="178" t="str">
        <f t="shared" si="109"/>
        <v/>
      </c>
      <c r="AH156" s="176">
        <f t="shared" si="110"/>
        <v>0</v>
      </c>
    </row>
    <row r="157" spans="2:34" ht="16.5" outlineLevel="1" x14ac:dyDescent="0.25">
      <c r="B157" s="175" t="s">
        <v>2594</v>
      </c>
      <c r="C157" s="176">
        <v>9.56</v>
      </c>
      <c r="D157" s="176">
        <v>13.35</v>
      </c>
      <c r="E157" s="194">
        <v>3</v>
      </c>
      <c r="F157" s="194">
        <v>0</v>
      </c>
      <c r="G157" s="194">
        <f t="shared" si="111"/>
        <v>3</v>
      </c>
      <c r="H157" s="176"/>
      <c r="I157" s="178" t="str">
        <f t="shared" si="92"/>
        <v>X</v>
      </c>
      <c r="J157" s="176">
        <f t="shared" si="93"/>
        <v>40.049999999999997</v>
      </c>
      <c r="K157" s="178" t="str">
        <f t="shared" si="94"/>
        <v xml:space="preserve"> </v>
      </c>
      <c r="L157" s="176">
        <f t="shared" si="115"/>
        <v>0</v>
      </c>
      <c r="M157" s="178" t="str">
        <f t="shared" si="96"/>
        <v>X</v>
      </c>
      <c r="N157" s="177">
        <f t="shared" si="97"/>
        <v>40.049999999999997</v>
      </c>
      <c r="O157" s="178" t="str">
        <f t="shared" si="98"/>
        <v xml:space="preserve"> </v>
      </c>
      <c r="P157" s="176">
        <f t="shared" si="99"/>
        <v>0</v>
      </c>
      <c r="Q157" s="178" t="s">
        <v>0</v>
      </c>
      <c r="R157" s="176"/>
      <c r="S157" s="178" t="s">
        <v>2578</v>
      </c>
      <c r="T157" s="178" t="str">
        <f t="shared" si="100"/>
        <v>X</v>
      </c>
      <c r="U157" s="176">
        <f t="shared" si="112"/>
        <v>40.049999999999997</v>
      </c>
      <c r="V157" s="178" t="str">
        <f t="shared" si="101"/>
        <v xml:space="preserve"> </v>
      </c>
      <c r="W157" s="176">
        <f t="shared" si="113"/>
        <v>0</v>
      </c>
      <c r="X157" s="178" t="str">
        <f t="shared" si="102"/>
        <v xml:space="preserve"> </v>
      </c>
      <c r="Y157" s="176">
        <f t="shared" si="114"/>
        <v>0</v>
      </c>
      <c r="Z157" s="178" t="s">
        <v>2582</v>
      </c>
      <c r="AA157" s="178" t="str">
        <f t="shared" si="103"/>
        <v xml:space="preserve"> </v>
      </c>
      <c r="AB157" s="176">
        <f t="shared" si="104"/>
        <v>0</v>
      </c>
      <c r="AC157" s="178" t="str">
        <f t="shared" si="105"/>
        <v>X</v>
      </c>
      <c r="AD157" s="176">
        <f t="shared" si="106"/>
        <v>9.56</v>
      </c>
      <c r="AE157" s="178" t="str">
        <f t="shared" si="107"/>
        <v xml:space="preserve"> </v>
      </c>
      <c r="AF157" s="176">
        <f t="shared" si="108"/>
        <v>0</v>
      </c>
      <c r="AG157" s="178" t="str">
        <f t="shared" si="109"/>
        <v>X</v>
      </c>
      <c r="AH157" s="176">
        <f t="shared" si="110"/>
        <v>13.35</v>
      </c>
    </row>
    <row r="158" spans="2:34" ht="16.5" outlineLevel="1" x14ac:dyDescent="0.25">
      <c r="B158" s="175" t="s">
        <v>2705</v>
      </c>
      <c r="C158" s="176">
        <v>8.74</v>
      </c>
      <c r="D158" s="176">
        <v>12.4</v>
      </c>
      <c r="E158" s="194">
        <v>3</v>
      </c>
      <c r="F158" s="194">
        <v>2.1</v>
      </c>
      <c r="G158" s="194">
        <f t="shared" si="111"/>
        <v>0.89999999999999991</v>
      </c>
      <c r="H158" s="176"/>
      <c r="I158" s="178" t="str">
        <f t="shared" si="92"/>
        <v>X</v>
      </c>
      <c r="J158" s="176">
        <f t="shared" si="93"/>
        <v>37.200000000000003</v>
      </c>
      <c r="K158" s="178" t="str">
        <f t="shared" si="94"/>
        <v>X</v>
      </c>
      <c r="L158" s="176">
        <f t="shared" si="115"/>
        <v>26.040000000000003</v>
      </c>
      <c r="M158" s="178" t="str">
        <f t="shared" si="96"/>
        <v>X</v>
      </c>
      <c r="N158" s="177">
        <f t="shared" si="97"/>
        <v>11.16</v>
      </c>
      <c r="O158" s="178" t="str">
        <f t="shared" si="98"/>
        <v>X</v>
      </c>
      <c r="P158" s="176">
        <f t="shared" si="99"/>
        <v>26.040000000000003</v>
      </c>
      <c r="Q158" s="178" t="s">
        <v>0</v>
      </c>
      <c r="R158" s="176"/>
      <c r="S158" s="178" t="s">
        <v>2578</v>
      </c>
      <c r="T158" s="178" t="str">
        <f t="shared" si="100"/>
        <v>X</v>
      </c>
      <c r="U158" s="176">
        <f t="shared" si="112"/>
        <v>11.16</v>
      </c>
      <c r="V158" s="178" t="str">
        <f t="shared" si="101"/>
        <v xml:space="preserve"> </v>
      </c>
      <c r="W158" s="176">
        <f t="shared" si="113"/>
        <v>0</v>
      </c>
      <c r="X158" s="178" t="str">
        <f t="shared" si="102"/>
        <v xml:space="preserve"> </v>
      </c>
      <c r="Y158" s="176">
        <f t="shared" si="114"/>
        <v>0</v>
      </c>
      <c r="Z158" s="178" t="s">
        <v>2581</v>
      </c>
      <c r="AA158" s="178" t="str">
        <f t="shared" si="103"/>
        <v>X</v>
      </c>
      <c r="AB158" s="176">
        <f t="shared" si="104"/>
        <v>8.74</v>
      </c>
      <c r="AC158" s="178" t="str">
        <f t="shared" si="105"/>
        <v xml:space="preserve"> </v>
      </c>
      <c r="AD158" s="176">
        <f t="shared" si="106"/>
        <v>0</v>
      </c>
      <c r="AE158" s="178" t="str">
        <f t="shared" si="107"/>
        <v xml:space="preserve"> </v>
      </c>
      <c r="AF158" s="176">
        <f t="shared" si="108"/>
        <v>0</v>
      </c>
      <c r="AG158" s="178" t="str">
        <f t="shared" si="109"/>
        <v/>
      </c>
      <c r="AH158" s="176">
        <f t="shared" si="110"/>
        <v>0</v>
      </c>
    </row>
    <row r="159" spans="2:34" ht="16.5" outlineLevel="1" x14ac:dyDescent="0.25">
      <c r="B159" s="175" t="s">
        <v>2706</v>
      </c>
      <c r="C159" s="176">
        <v>8.8000000000000007</v>
      </c>
      <c r="D159" s="176">
        <v>12.4</v>
      </c>
      <c r="E159" s="194">
        <v>3</v>
      </c>
      <c r="F159" s="194">
        <v>2.1</v>
      </c>
      <c r="G159" s="194">
        <f t="shared" si="111"/>
        <v>0.89999999999999991</v>
      </c>
      <c r="H159" s="176"/>
      <c r="I159" s="178" t="str">
        <f t="shared" si="92"/>
        <v>X</v>
      </c>
      <c r="J159" s="176">
        <f t="shared" si="93"/>
        <v>37.200000000000003</v>
      </c>
      <c r="K159" s="178" t="str">
        <f t="shared" si="94"/>
        <v>X</v>
      </c>
      <c r="L159" s="176">
        <f t="shared" si="115"/>
        <v>26.040000000000003</v>
      </c>
      <c r="M159" s="178" t="str">
        <f t="shared" si="96"/>
        <v>X</v>
      </c>
      <c r="N159" s="177">
        <f t="shared" si="97"/>
        <v>11.16</v>
      </c>
      <c r="O159" s="178" t="str">
        <f t="shared" si="98"/>
        <v>X</v>
      </c>
      <c r="P159" s="176">
        <f t="shared" si="99"/>
        <v>26.040000000000003</v>
      </c>
      <c r="Q159" s="178" t="s">
        <v>0</v>
      </c>
      <c r="R159" s="176"/>
      <c r="S159" s="178" t="s">
        <v>2578</v>
      </c>
      <c r="T159" s="178" t="str">
        <f t="shared" si="100"/>
        <v>X</v>
      </c>
      <c r="U159" s="176">
        <f t="shared" si="112"/>
        <v>11.16</v>
      </c>
      <c r="V159" s="178" t="str">
        <f t="shared" si="101"/>
        <v xml:space="preserve"> </v>
      </c>
      <c r="W159" s="176">
        <f t="shared" si="113"/>
        <v>0</v>
      </c>
      <c r="X159" s="178" t="str">
        <f t="shared" si="102"/>
        <v xml:space="preserve"> </v>
      </c>
      <c r="Y159" s="176">
        <f t="shared" si="114"/>
        <v>0</v>
      </c>
      <c r="Z159" s="178" t="s">
        <v>2581</v>
      </c>
      <c r="AA159" s="178" t="str">
        <f t="shared" si="103"/>
        <v>X</v>
      </c>
      <c r="AB159" s="176">
        <f t="shared" si="104"/>
        <v>8.8000000000000007</v>
      </c>
      <c r="AC159" s="178" t="str">
        <f t="shared" si="105"/>
        <v xml:space="preserve"> </v>
      </c>
      <c r="AD159" s="176">
        <f t="shared" si="106"/>
        <v>0</v>
      </c>
      <c r="AE159" s="178" t="str">
        <f t="shared" si="107"/>
        <v xml:space="preserve"> </v>
      </c>
      <c r="AF159" s="176">
        <f t="shared" si="108"/>
        <v>0</v>
      </c>
      <c r="AG159" s="178" t="str">
        <f t="shared" si="109"/>
        <v/>
      </c>
      <c r="AH159" s="176">
        <f t="shared" si="110"/>
        <v>0</v>
      </c>
    </row>
    <row r="160" spans="2:34" ht="16.5" outlineLevel="1" x14ac:dyDescent="0.25">
      <c r="B160" s="175" t="s">
        <v>2591</v>
      </c>
      <c r="C160" s="176">
        <v>2.16</v>
      </c>
      <c r="D160" s="176">
        <v>6.45</v>
      </c>
      <c r="E160" s="194">
        <v>3</v>
      </c>
      <c r="F160" s="194">
        <v>2.1</v>
      </c>
      <c r="G160" s="194">
        <f t="shared" si="111"/>
        <v>0.89999999999999991</v>
      </c>
      <c r="H160" s="176"/>
      <c r="I160" s="178" t="str">
        <f t="shared" si="92"/>
        <v>X</v>
      </c>
      <c r="J160" s="176">
        <f t="shared" si="93"/>
        <v>19.350000000000001</v>
      </c>
      <c r="K160" s="178" t="str">
        <f t="shared" si="94"/>
        <v>X</v>
      </c>
      <c r="L160" s="176">
        <f t="shared" si="115"/>
        <v>13.545000000000002</v>
      </c>
      <c r="M160" s="178" t="str">
        <f t="shared" si="96"/>
        <v>X</v>
      </c>
      <c r="N160" s="177">
        <f t="shared" si="97"/>
        <v>5.8049999999999997</v>
      </c>
      <c r="O160" s="178" t="str">
        <f t="shared" si="98"/>
        <v>X</v>
      </c>
      <c r="P160" s="176">
        <f t="shared" si="99"/>
        <v>13.545000000000002</v>
      </c>
      <c r="Q160" s="178" t="s">
        <v>0</v>
      </c>
      <c r="R160" s="176"/>
      <c r="S160" s="178" t="s">
        <v>2578</v>
      </c>
      <c r="T160" s="178" t="str">
        <f t="shared" si="100"/>
        <v>X</v>
      </c>
      <c r="U160" s="176">
        <f t="shared" si="112"/>
        <v>5.8049999999999997</v>
      </c>
      <c r="V160" s="178" t="str">
        <f t="shared" si="101"/>
        <v xml:space="preserve"> </v>
      </c>
      <c r="W160" s="176">
        <f t="shared" si="113"/>
        <v>0</v>
      </c>
      <c r="X160" s="178" t="str">
        <f t="shared" si="102"/>
        <v xml:space="preserve"> </v>
      </c>
      <c r="Y160" s="176">
        <f t="shared" si="114"/>
        <v>0</v>
      </c>
      <c r="Z160" s="178" t="s">
        <v>2581</v>
      </c>
      <c r="AA160" s="178" t="str">
        <f t="shared" si="103"/>
        <v>X</v>
      </c>
      <c r="AB160" s="176">
        <f t="shared" si="104"/>
        <v>2.16</v>
      </c>
      <c r="AC160" s="178" t="str">
        <f t="shared" si="105"/>
        <v xml:space="preserve"> </v>
      </c>
      <c r="AD160" s="176">
        <f t="shared" si="106"/>
        <v>0</v>
      </c>
      <c r="AE160" s="178" t="str">
        <f t="shared" si="107"/>
        <v xml:space="preserve"> </v>
      </c>
      <c r="AF160" s="176">
        <f t="shared" si="108"/>
        <v>0</v>
      </c>
      <c r="AG160" s="178" t="str">
        <f t="shared" si="109"/>
        <v/>
      </c>
      <c r="AH160" s="176">
        <f t="shared" si="110"/>
        <v>0</v>
      </c>
    </row>
    <row r="161" spans="2:34" ht="16.5" outlineLevel="1" x14ac:dyDescent="0.25">
      <c r="B161" s="175" t="s">
        <v>2707</v>
      </c>
      <c r="C161" s="176">
        <v>19.78</v>
      </c>
      <c r="D161" s="176">
        <v>19.36</v>
      </c>
      <c r="E161" s="194">
        <v>3</v>
      </c>
      <c r="F161" s="194">
        <v>0</v>
      </c>
      <c r="G161" s="194">
        <f t="shared" si="111"/>
        <v>3</v>
      </c>
      <c r="H161" s="176">
        <v>2.4</v>
      </c>
      <c r="I161" s="178" t="str">
        <f t="shared" si="92"/>
        <v>X</v>
      </c>
      <c r="J161" s="176">
        <f t="shared" si="93"/>
        <v>50.88</v>
      </c>
      <c r="K161" s="178" t="str">
        <f t="shared" si="94"/>
        <v xml:space="preserve"> </v>
      </c>
      <c r="L161" s="176">
        <f t="shared" si="115"/>
        <v>0</v>
      </c>
      <c r="M161" s="178" t="str">
        <f t="shared" si="96"/>
        <v>X</v>
      </c>
      <c r="N161" s="177">
        <f t="shared" si="97"/>
        <v>50.88</v>
      </c>
      <c r="O161" s="178" t="str">
        <f t="shared" si="98"/>
        <v xml:space="preserve"> </v>
      </c>
      <c r="P161" s="176">
        <f t="shared" si="99"/>
        <v>0</v>
      </c>
      <c r="Q161" s="178" t="s">
        <v>0</v>
      </c>
      <c r="R161" s="176"/>
      <c r="S161" s="178" t="s">
        <v>2578</v>
      </c>
      <c r="T161" s="178" t="str">
        <f t="shared" si="100"/>
        <v>X</v>
      </c>
      <c r="U161" s="176">
        <f t="shared" si="112"/>
        <v>50.88</v>
      </c>
      <c r="V161" s="178" t="str">
        <f t="shared" si="101"/>
        <v xml:space="preserve"> </v>
      </c>
      <c r="W161" s="176">
        <f t="shared" si="113"/>
        <v>0</v>
      </c>
      <c r="X161" s="178" t="str">
        <f t="shared" si="102"/>
        <v xml:space="preserve"> </v>
      </c>
      <c r="Y161" s="176">
        <f t="shared" si="114"/>
        <v>0</v>
      </c>
      <c r="Z161" s="178" t="s">
        <v>2581</v>
      </c>
      <c r="AA161" s="178" t="str">
        <f t="shared" si="103"/>
        <v>X</v>
      </c>
      <c r="AB161" s="176">
        <f t="shared" si="104"/>
        <v>19.78</v>
      </c>
      <c r="AC161" s="178" t="str">
        <f t="shared" si="105"/>
        <v xml:space="preserve"> </v>
      </c>
      <c r="AD161" s="176">
        <f t="shared" si="106"/>
        <v>0</v>
      </c>
      <c r="AE161" s="178" t="str">
        <f t="shared" si="107"/>
        <v xml:space="preserve"> </v>
      </c>
      <c r="AF161" s="176">
        <f t="shared" si="108"/>
        <v>0</v>
      </c>
      <c r="AG161" s="178" t="str">
        <f t="shared" si="109"/>
        <v>X</v>
      </c>
      <c r="AH161" s="176">
        <f t="shared" si="110"/>
        <v>16.96</v>
      </c>
    </row>
    <row r="162" spans="2:34" ht="16.5" outlineLevel="1" x14ac:dyDescent="0.25">
      <c r="B162" s="175" t="s">
        <v>2708</v>
      </c>
      <c r="C162" s="176">
        <v>39.89</v>
      </c>
      <c r="D162" s="176">
        <v>25.29</v>
      </c>
      <c r="E162" s="194">
        <v>3</v>
      </c>
      <c r="F162" s="194">
        <v>0</v>
      </c>
      <c r="G162" s="194">
        <f t="shared" si="111"/>
        <v>3</v>
      </c>
      <c r="H162" s="176">
        <v>4.45</v>
      </c>
      <c r="I162" s="178" t="str">
        <f t="shared" si="92"/>
        <v>X</v>
      </c>
      <c r="J162" s="176">
        <f t="shared" si="93"/>
        <v>62.519999999999996</v>
      </c>
      <c r="K162" s="178" t="str">
        <f t="shared" si="94"/>
        <v xml:space="preserve"> </v>
      </c>
      <c r="L162" s="176">
        <f t="shared" si="115"/>
        <v>0</v>
      </c>
      <c r="M162" s="178" t="str">
        <f t="shared" si="96"/>
        <v>X</v>
      </c>
      <c r="N162" s="177">
        <f t="shared" si="97"/>
        <v>62.519999999999996</v>
      </c>
      <c r="O162" s="178" t="str">
        <f t="shared" si="98"/>
        <v xml:space="preserve"> </v>
      </c>
      <c r="P162" s="176">
        <f t="shared" si="99"/>
        <v>0</v>
      </c>
      <c r="Q162" s="178" t="s">
        <v>0</v>
      </c>
      <c r="R162" s="176"/>
      <c r="S162" s="178" t="s">
        <v>2578</v>
      </c>
      <c r="T162" s="178" t="str">
        <f t="shared" si="100"/>
        <v>X</v>
      </c>
      <c r="U162" s="176">
        <f t="shared" si="112"/>
        <v>62.519999999999996</v>
      </c>
      <c r="V162" s="178" t="str">
        <f t="shared" si="101"/>
        <v xml:space="preserve"> </v>
      </c>
      <c r="W162" s="176">
        <f t="shared" si="113"/>
        <v>0</v>
      </c>
      <c r="X162" s="178" t="str">
        <f t="shared" si="102"/>
        <v xml:space="preserve"> </v>
      </c>
      <c r="Y162" s="176">
        <f t="shared" si="114"/>
        <v>0</v>
      </c>
      <c r="Z162" s="178" t="s">
        <v>2581</v>
      </c>
      <c r="AA162" s="178" t="str">
        <f t="shared" si="103"/>
        <v>X</v>
      </c>
      <c r="AB162" s="176">
        <f t="shared" si="104"/>
        <v>39.89</v>
      </c>
      <c r="AC162" s="178" t="str">
        <f t="shared" si="105"/>
        <v xml:space="preserve"> </v>
      </c>
      <c r="AD162" s="176">
        <f t="shared" si="106"/>
        <v>0</v>
      </c>
      <c r="AE162" s="178" t="str">
        <f t="shared" si="107"/>
        <v xml:space="preserve"> </v>
      </c>
      <c r="AF162" s="176">
        <f t="shared" si="108"/>
        <v>0</v>
      </c>
      <c r="AG162" s="178" t="str">
        <f t="shared" si="109"/>
        <v>X</v>
      </c>
      <c r="AH162" s="176">
        <f t="shared" si="110"/>
        <v>20.84</v>
      </c>
    </row>
    <row r="163" spans="2:34" ht="16.5" outlineLevel="1" x14ac:dyDescent="0.25">
      <c r="B163" s="175" t="s">
        <v>2709</v>
      </c>
      <c r="C163" s="176">
        <v>27.24</v>
      </c>
      <c r="D163" s="176">
        <v>28</v>
      </c>
      <c r="E163" s="194">
        <v>3</v>
      </c>
      <c r="F163" s="194">
        <v>0</v>
      </c>
      <c r="G163" s="194">
        <f t="shared" si="111"/>
        <v>3</v>
      </c>
      <c r="H163" s="176">
        <v>2.4</v>
      </c>
      <c r="I163" s="178" t="str">
        <f t="shared" si="92"/>
        <v>X</v>
      </c>
      <c r="J163" s="176">
        <f t="shared" si="93"/>
        <v>76.800000000000011</v>
      </c>
      <c r="K163" s="178" t="str">
        <f t="shared" si="94"/>
        <v xml:space="preserve"> </v>
      </c>
      <c r="L163" s="176">
        <f t="shared" si="115"/>
        <v>0</v>
      </c>
      <c r="M163" s="178" t="str">
        <f t="shared" si="96"/>
        <v>X</v>
      </c>
      <c r="N163" s="177">
        <f t="shared" si="97"/>
        <v>76.800000000000011</v>
      </c>
      <c r="O163" s="178" t="str">
        <f t="shared" si="98"/>
        <v xml:space="preserve"> </v>
      </c>
      <c r="P163" s="176">
        <f t="shared" si="99"/>
        <v>0</v>
      </c>
      <c r="Q163" s="178" t="s">
        <v>0</v>
      </c>
      <c r="R163" s="176"/>
      <c r="S163" s="178" t="s">
        <v>2578</v>
      </c>
      <c r="T163" s="178" t="str">
        <f t="shared" si="100"/>
        <v>X</v>
      </c>
      <c r="U163" s="176">
        <f t="shared" si="112"/>
        <v>76.800000000000011</v>
      </c>
      <c r="V163" s="178" t="str">
        <f t="shared" si="101"/>
        <v xml:space="preserve"> </v>
      </c>
      <c r="W163" s="176">
        <f t="shared" si="113"/>
        <v>0</v>
      </c>
      <c r="X163" s="178" t="str">
        <f t="shared" si="102"/>
        <v xml:space="preserve"> </v>
      </c>
      <c r="Y163" s="176">
        <f t="shared" si="114"/>
        <v>0</v>
      </c>
      <c r="Z163" s="178" t="s">
        <v>2582</v>
      </c>
      <c r="AA163" s="178" t="str">
        <f t="shared" si="103"/>
        <v xml:space="preserve"> </v>
      </c>
      <c r="AB163" s="176">
        <f t="shared" si="104"/>
        <v>0</v>
      </c>
      <c r="AC163" s="178" t="str">
        <f t="shared" si="105"/>
        <v>X</v>
      </c>
      <c r="AD163" s="176">
        <f t="shared" si="106"/>
        <v>27.24</v>
      </c>
      <c r="AE163" s="178" t="str">
        <f t="shared" si="107"/>
        <v xml:space="preserve"> </v>
      </c>
      <c r="AF163" s="176">
        <f t="shared" si="108"/>
        <v>0</v>
      </c>
      <c r="AG163" s="178" t="str">
        <f t="shared" si="109"/>
        <v>X</v>
      </c>
      <c r="AH163" s="176">
        <f t="shared" si="110"/>
        <v>25.6</v>
      </c>
    </row>
    <row r="164" spans="2:34" ht="16.5" outlineLevel="1" x14ac:dyDescent="0.25">
      <c r="B164" s="175" t="s">
        <v>2710</v>
      </c>
      <c r="C164" s="176">
        <v>28.26</v>
      </c>
      <c r="D164" s="176">
        <v>25.52</v>
      </c>
      <c r="E164" s="194">
        <v>3</v>
      </c>
      <c r="F164" s="194">
        <v>0</v>
      </c>
      <c r="G164" s="194">
        <f t="shared" si="111"/>
        <v>3</v>
      </c>
      <c r="H164" s="176"/>
      <c r="I164" s="178" t="str">
        <f t="shared" si="92"/>
        <v>X</v>
      </c>
      <c r="J164" s="176">
        <f t="shared" si="93"/>
        <v>76.56</v>
      </c>
      <c r="K164" s="178" t="str">
        <f t="shared" si="94"/>
        <v xml:space="preserve"> </v>
      </c>
      <c r="L164" s="176">
        <f t="shared" si="115"/>
        <v>0</v>
      </c>
      <c r="M164" s="178" t="str">
        <f t="shared" si="96"/>
        <v>X</v>
      </c>
      <c r="N164" s="177">
        <f t="shared" si="97"/>
        <v>76.56</v>
      </c>
      <c r="O164" s="178" t="str">
        <f t="shared" si="98"/>
        <v xml:space="preserve"> </v>
      </c>
      <c r="P164" s="176">
        <f t="shared" si="99"/>
        <v>0</v>
      </c>
      <c r="Q164" s="178" t="s">
        <v>0</v>
      </c>
      <c r="R164" s="176"/>
      <c r="S164" s="178" t="s">
        <v>2578</v>
      </c>
      <c r="T164" s="178" t="str">
        <f t="shared" si="100"/>
        <v>X</v>
      </c>
      <c r="U164" s="176">
        <f t="shared" si="112"/>
        <v>76.56</v>
      </c>
      <c r="V164" s="178" t="str">
        <f t="shared" si="101"/>
        <v xml:space="preserve"> </v>
      </c>
      <c r="W164" s="176">
        <f t="shared" si="113"/>
        <v>0</v>
      </c>
      <c r="X164" s="178" t="str">
        <f t="shared" si="102"/>
        <v xml:space="preserve"> </v>
      </c>
      <c r="Y164" s="176">
        <f t="shared" si="114"/>
        <v>0</v>
      </c>
      <c r="Z164" s="178" t="s">
        <v>2581</v>
      </c>
      <c r="AA164" s="178" t="str">
        <f t="shared" si="103"/>
        <v>X</v>
      </c>
      <c r="AB164" s="176">
        <f t="shared" si="104"/>
        <v>28.26</v>
      </c>
      <c r="AC164" s="178" t="str">
        <f t="shared" si="105"/>
        <v xml:space="preserve"> </v>
      </c>
      <c r="AD164" s="176">
        <f t="shared" si="106"/>
        <v>0</v>
      </c>
      <c r="AE164" s="178" t="str">
        <f t="shared" si="107"/>
        <v xml:space="preserve"> </v>
      </c>
      <c r="AF164" s="176">
        <f t="shared" si="108"/>
        <v>0</v>
      </c>
      <c r="AG164" s="178" t="str">
        <f t="shared" si="109"/>
        <v>X</v>
      </c>
      <c r="AH164" s="176">
        <f t="shared" si="110"/>
        <v>25.52</v>
      </c>
    </row>
    <row r="165" spans="2:34" ht="16.5" outlineLevel="1" x14ac:dyDescent="0.25">
      <c r="B165" s="175" t="s">
        <v>2711</v>
      </c>
      <c r="C165" s="176">
        <v>45.45</v>
      </c>
      <c r="D165" s="176">
        <v>30.77</v>
      </c>
      <c r="E165" s="194">
        <v>3</v>
      </c>
      <c r="F165" s="194">
        <v>3</v>
      </c>
      <c r="G165" s="194">
        <f t="shared" si="111"/>
        <v>0</v>
      </c>
      <c r="H165" s="176"/>
      <c r="I165" s="178" t="str">
        <f t="shared" si="92"/>
        <v>X</v>
      </c>
      <c r="J165" s="176">
        <f t="shared" si="93"/>
        <v>92.31</v>
      </c>
      <c r="K165" s="178" t="str">
        <f t="shared" si="94"/>
        <v>X</v>
      </c>
      <c r="L165" s="176">
        <f t="shared" si="115"/>
        <v>92.31</v>
      </c>
      <c r="M165" s="178" t="str">
        <f t="shared" si="96"/>
        <v>X</v>
      </c>
      <c r="N165" s="177">
        <f t="shared" si="97"/>
        <v>0</v>
      </c>
      <c r="O165" s="178" t="str">
        <f t="shared" si="98"/>
        <v>X</v>
      </c>
      <c r="P165" s="176">
        <f t="shared" si="99"/>
        <v>92.31</v>
      </c>
      <c r="Q165" s="178" t="s">
        <v>0</v>
      </c>
      <c r="R165" s="176"/>
      <c r="S165" s="178" t="s">
        <v>2578</v>
      </c>
      <c r="T165" s="178" t="str">
        <f t="shared" si="100"/>
        <v>X</v>
      </c>
      <c r="U165" s="176">
        <f t="shared" si="112"/>
        <v>0</v>
      </c>
      <c r="V165" s="178" t="str">
        <f t="shared" si="101"/>
        <v xml:space="preserve"> </v>
      </c>
      <c r="W165" s="176">
        <f t="shared" si="113"/>
        <v>0</v>
      </c>
      <c r="X165" s="178" t="str">
        <f t="shared" si="102"/>
        <v xml:space="preserve"> </v>
      </c>
      <c r="Y165" s="176">
        <f t="shared" si="114"/>
        <v>0</v>
      </c>
      <c r="Z165" s="178" t="s">
        <v>2581</v>
      </c>
      <c r="AA165" s="178" t="str">
        <f t="shared" si="103"/>
        <v>X</v>
      </c>
      <c r="AB165" s="176">
        <f t="shared" si="104"/>
        <v>45.45</v>
      </c>
      <c r="AC165" s="178" t="str">
        <f t="shared" si="105"/>
        <v xml:space="preserve"> </v>
      </c>
      <c r="AD165" s="176">
        <f t="shared" si="106"/>
        <v>0</v>
      </c>
      <c r="AE165" s="178" t="str">
        <f t="shared" si="107"/>
        <v xml:space="preserve"> </v>
      </c>
      <c r="AF165" s="176">
        <f t="shared" si="108"/>
        <v>0</v>
      </c>
      <c r="AG165" s="178" t="str">
        <f t="shared" si="109"/>
        <v/>
      </c>
      <c r="AH165" s="176">
        <f t="shared" si="110"/>
        <v>0</v>
      </c>
    </row>
    <row r="166" spans="2:34" ht="16.5" outlineLevel="1" x14ac:dyDescent="0.25">
      <c r="B166" s="175" t="s">
        <v>2697</v>
      </c>
      <c r="C166" s="176">
        <v>7.79</v>
      </c>
      <c r="D166" s="176">
        <v>11.7</v>
      </c>
      <c r="E166" s="194">
        <v>3</v>
      </c>
      <c r="F166" s="194">
        <v>0</v>
      </c>
      <c r="G166" s="194">
        <f t="shared" si="111"/>
        <v>3</v>
      </c>
      <c r="H166" s="176"/>
      <c r="I166" s="178" t="str">
        <f t="shared" si="92"/>
        <v>X</v>
      </c>
      <c r="J166" s="176">
        <f t="shared" si="93"/>
        <v>35.099999999999994</v>
      </c>
      <c r="K166" s="178" t="str">
        <f t="shared" si="94"/>
        <v xml:space="preserve"> </v>
      </c>
      <c r="L166" s="176">
        <f t="shared" si="115"/>
        <v>0</v>
      </c>
      <c r="M166" s="178" t="str">
        <f t="shared" si="96"/>
        <v>X</v>
      </c>
      <c r="N166" s="177">
        <f t="shared" si="97"/>
        <v>35.099999999999994</v>
      </c>
      <c r="O166" s="178" t="str">
        <f t="shared" si="98"/>
        <v xml:space="preserve"> </v>
      </c>
      <c r="P166" s="176">
        <f t="shared" si="99"/>
        <v>0</v>
      </c>
      <c r="Q166" s="178" t="s">
        <v>0</v>
      </c>
      <c r="R166" s="176"/>
      <c r="S166" s="178" t="s">
        <v>2578</v>
      </c>
      <c r="T166" s="178" t="str">
        <f t="shared" si="100"/>
        <v>X</v>
      </c>
      <c r="U166" s="176">
        <f t="shared" si="112"/>
        <v>35.099999999999994</v>
      </c>
      <c r="V166" s="178" t="str">
        <f t="shared" si="101"/>
        <v xml:space="preserve"> </v>
      </c>
      <c r="W166" s="176">
        <f t="shared" si="113"/>
        <v>0</v>
      </c>
      <c r="X166" s="178" t="str">
        <f t="shared" si="102"/>
        <v xml:space="preserve"> </v>
      </c>
      <c r="Y166" s="176">
        <f t="shared" si="114"/>
        <v>0</v>
      </c>
      <c r="Z166" s="178" t="s">
        <v>2581</v>
      </c>
      <c r="AA166" s="178" t="str">
        <f t="shared" si="103"/>
        <v>X</v>
      </c>
      <c r="AB166" s="176">
        <f t="shared" si="104"/>
        <v>7.79</v>
      </c>
      <c r="AC166" s="178" t="str">
        <f t="shared" si="105"/>
        <v xml:space="preserve"> </v>
      </c>
      <c r="AD166" s="176">
        <f t="shared" si="106"/>
        <v>0</v>
      </c>
      <c r="AE166" s="178" t="str">
        <f t="shared" si="107"/>
        <v xml:space="preserve"> </v>
      </c>
      <c r="AF166" s="176">
        <f t="shared" si="108"/>
        <v>0</v>
      </c>
      <c r="AG166" s="178" t="str">
        <f t="shared" si="109"/>
        <v>X</v>
      </c>
      <c r="AH166" s="176">
        <f t="shared" si="110"/>
        <v>11.7</v>
      </c>
    </row>
    <row r="167" spans="2:34" ht="16.5" outlineLevel="1" x14ac:dyDescent="0.25">
      <c r="B167" s="175" t="s">
        <v>2591</v>
      </c>
      <c r="C167" s="176">
        <v>2.0499999999999998</v>
      </c>
      <c r="D167" s="176">
        <v>6.1</v>
      </c>
      <c r="E167" s="194">
        <v>3</v>
      </c>
      <c r="F167" s="194">
        <v>2.1</v>
      </c>
      <c r="G167" s="194">
        <f t="shared" si="111"/>
        <v>0.89999999999999991</v>
      </c>
      <c r="H167" s="176"/>
      <c r="I167" s="178" t="str">
        <f t="shared" si="92"/>
        <v>X</v>
      </c>
      <c r="J167" s="176">
        <f t="shared" si="93"/>
        <v>18.299999999999997</v>
      </c>
      <c r="K167" s="178" t="str">
        <f t="shared" si="94"/>
        <v>X</v>
      </c>
      <c r="L167" s="176">
        <f t="shared" si="115"/>
        <v>12.81</v>
      </c>
      <c r="M167" s="178" t="str">
        <f t="shared" si="96"/>
        <v>X</v>
      </c>
      <c r="N167" s="177">
        <f t="shared" si="97"/>
        <v>5.4899999999999967</v>
      </c>
      <c r="O167" s="178" t="str">
        <f t="shared" si="98"/>
        <v>X</v>
      </c>
      <c r="P167" s="176">
        <f t="shared" si="99"/>
        <v>12.81</v>
      </c>
      <c r="Q167" s="178" t="s">
        <v>0</v>
      </c>
      <c r="R167" s="176"/>
      <c r="S167" s="178" t="s">
        <v>2578</v>
      </c>
      <c r="T167" s="178" t="str">
        <f t="shared" si="100"/>
        <v>X</v>
      </c>
      <c r="U167" s="176">
        <f t="shared" si="112"/>
        <v>5.4899999999999967</v>
      </c>
      <c r="V167" s="178" t="str">
        <f t="shared" si="101"/>
        <v xml:space="preserve"> </v>
      </c>
      <c r="W167" s="176">
        <f t="shared" si="113"/>
        <v>0</v>
      </c>
      <c r="X167" s="178" t="str">
        <f t="shared" si="102"/>
        <v xml:space="preserve"> </v>
      </c>
      <c r="Y167" s="176">
        <f t="shared" si="114"/>
        <v>0</v>
      </c>
      <c r="Z167" s="178" t="s">
        <v>2581</v>
      </c>
      <c r="AA167" s="178" t="str">
        <f t="shared" si="103"/>
        <v>X</v>
      </c>
      <c r="AB167" s="176">
        <f t="shared" si="104"/>
        <v>2.0499999999999998</v>
      </c>
      <c r="AC167" s="178" t="str">
        <f t="shared" si="105"/>
        <v xml:space="preserve"> </v>
      </c>
      <c r="AD167" s="176">
        <f t="shared" si="106"/>
        <v>0</v>
      </c>
      <c r="AE167" s="178" t="str">
        <f t="shared" si="107"/>
        <v xml:space="preserve"> </v>
      </c>
      <c r="AF167" s="176">
        <f t="shared" si="108"/>
        <v>0</v>
      </c>
      <c r="AG167" s="178" t="str">
        <f t="shared" si="109"/>
        <v/>
      </c>
      <c r="AH167" s="176">
        <f t="shared" si="110"/>
        <v>0</v>
      </c>
    </row>
    <row r="168" spans="2:34" ht="16.5" outlineLevel="1" x14ac:dyDescent="0.25">
      <c r="B168" s="175" t="s">
        <v>2712</v>
      </c>
      <c r="C168" s="176">
        <v>5.94</v>
      </c>
      <c r="D168" s="176">
        <v>10.199999999999999</v>
      </c>
      <c r="E168" s="194">
        <v>3</v>
      </c>
      <c r="F168" s="194">
        <v>3</v>
      </c>
      <c r="G168" s="194">
        <f t="shared" si="111"/>
        <v>0</v>
      </c>
      <c r="H168" s="176"/>
      <c r="I168" s="178" t="str">
        <f t="shared" si="92"/>
        <v>X</v>
      </c>
      <c r="J168" s="176">
        <f t="shared" si="93"/>
        <v>30.599999999999998</v>
      </c>
      <c r="K168" s="178" t="str">
        <f t="shared" si="94"/>
        <v>X</v>
      </c>
      <c r="L168" s="176">
        <f t="shared" si="115"/>
        <v>30.599999999999998</v>
      </c>
      <c r="M168" s="178" t="str">
        <f t="shared" si="96"/>
        <v>X</v>
      </c>
      <c r="N168" s="177">
        <f t="shared" si="97"/>
        <v>0</v>
      </c>
      <c r="O168" s="178" t="str">
        <f t="shared" si="98"/>
        <v>X</v>
      </c>
      <c r="P168" s="176">
        <f t="shared" si="99"/>
        <v>30.599999999999998</v>
      </c>
      <c r="Q168" s="178" t="s">
        <v>0</v>
      </c>
      <c r="R168" s="176"/>
      <c r="S168" s="178" t="s">
        <v>2578</v>
      </c>
      <c r="T168" s="178" t="str">
        <f t="shared" si="100"/>
        <v>X</v>
      </c>
      <c r="U168" s="176">
        <f t="shared" si="112"/>
        <v>0</v>
      </c>
      <c r="V168" s="178" t="str">
        <f t="shared" si="101"/>
        <v xml:space="preserve"> </v>
      </c>
      <c r="W168" s="176">
        <f t="shared" si="113"/>
        <v>0</v>
      </c>
      <c r="X168" s="178" t="str">
        <f t="shared" si="102"/>
        <v xml:space="preserve"> </v>
      </c>
      <c r="Y168" s="176">
        <f t="shared" si="114"/>
        <v>0</v>
      </c>
      <c r="Z168" s="178" t="s">
        <v>2581</v>
      </c>
      <c r="AA168" s="178" t="str">
        <f t="shared" si="103"/>
        <v>X</v>
      </c>
      <c r="AB168" s="176">
        <f t="shared" si="104"/>
        <v>5.94</v>
      </c>
      <c r="AC168" s="178" t="str">
        <f t="shared" si="105"/>
        <v xml:space="preserve"> </v>
      </c>
      <c r="AD168" s="176">
        <f t="shared" si="106"/>
        <v>0</v>
      </c>
      <c r="AE168" s="178" t="str">
        <f t="shared" si="107"/>
        <v xml:space="preserve"> </v>
      </c>
      <c r="AF168" s="176">
        <f t="shared" si="108"/>
        <v>0</v>
      </c>
      <c r="AG168" s="178" t="str">
        <f t="shared" si="109"/>
        <v/>
      </c>
      <c r="AH168" s="176">
        <f t="shared" si="110"/>
        <v>0</v>
      </c>
    </row>
    <row r="169" spans="2:34" ht="16.5" outlineLevel="1" x14ac:dyDescent="0.25">
      <c r="B169" s="175" t="s">
        <v>2611</v>
      </c>
      <c r="C169" s="176">
        <v>2.0699999999999998</v>
      </c>
      <c r="D169" s="176">
        <v>5.9</v>
      </c>
      <c r="E169" s="194">
        <v>3</v>
      </c>
      <c r="F169" s="194">
        <v>0</v>
      </c>
      <c r="G169" s="194">
        <f t="shared" si="111"/>
        <v>3</v>
      </c>
      <c r="H169" s="176"/>
      <c r="I169" s="178" t="str">
        <f t="shared" si="92"/>
        <v>X</v>
      </c>
      <c r="J169" s="176">
        <f t="shared" si="93"/>
        <v>17.700000000000003</v>
      </c>
      <c r="K169" s="178" t="str">
        <f t="shared" si="94"/>
        <v xml:space="preserve"> </v>
      </c>
      <c r="L169" s="176">
        <f t="shared" si="115"/>
        <v>0</v>
      </c>
      <c r="M169" s="178" t="str">
        <f t="shared" si="96"/>
        <v>X</v>
      </c>
      <c r="N169" s="177">
        <f t="shared" si="97"/>
        <v>17.700000000000003</v>
      </c>
      <c r="O169" s="178" t="str">
        <f t="shared" si="98"/>
        <v xml:space="preserve"> </v>
      </c>
      <c r="P169" s="176">
        <f t="shared" si="99"/>
        <v>0</v>
      </c>
      <c r="Q169" s="178" t="s">
        <v>0</v>
      </c>
      <c r="R169" s="176"/>
      <c r="S169" s="178" t="s">
        <v>2578</v>
      </c>
      <c r="T169" s="178" t="str">
        <f t="shared" si="100"/>
        <v>X</v>
      </c>
      <c r="U169" s="176">
        <f t="shared" si="112"/>
        <v>17.700000000000003</v>
      </c>
      <c r="V169" s="178" t="str">
        <f t="shared" si="101"/>
        <v xml:space="preserve"> </v>
      </c>
      <c r="W169" s="176">
        <f t="shared" si="113"/>
        <v>0</v>
      </c>
      <c r="X169" s="178" t="str">
        <f t="shared" si="102"/>
        <v xml:space="preserve"> </v>
      </c>
      <c r="Y169" s="176">
        <f t="shared" si="114"/>
        <v>0</v>
      </c>
      <c r="Z169" s="178" t="s">
        <v>2581</v>
      </c>
      <c r="AA169" s="178" t="str">
        <f t="shared" si="103"/>
        <v>X</v>
      </c>
      <c r="AB169" s="176">
        <f t="shared" si="104"/>
        <v>2.0699999999999998</v>
      </c>
      <c r="AC169" s="178" t="str">
        <f t="shared" si="105"/>
        <v xml:space="preserve"> </v>
      </c>
      <c r="AD169" s="176">
        <f t="shared" si="106"/>
        <v>0</v>
      </c>
      <c r="AE169" s="178" t="str">
        <f t="shared" si="107"/>
        <v xml:space="preserve"> </v>
      </c>
      <c r="AF169" s="176">
        <f t="shared" si="108"/>
        <v>0</v>
      </c>
      <c r="AG169" s="178" t="str">
        <f t="shared" si="109"/>
        <v>X</v>
      </c>
      <c r="AH169" s="176">
        <f t="shared" si="110"/>
        <v>5.9</v>
      </c>
    </row>
    <row r="170" spans="2:34" ht="16.5" outlineLevel="1" x14ac:dyDescent="0.25">
      <c r="B170" s="175" t="s">
        <v>2713</v>
      </c>
      <c r="C170" s="176">
        <v>6.89</v>
      </c>
      <c r="D170" s="176">
        <v>12.2</v>
      </c>
      <c r="E170" s="194">
        <v>3</v>
      </c>
      <c r="F170" s="194">
        <v>0</v>
      </c>
      <c r="G170" s="194">
        <f t="shared" si="111"/>
        <v>3</v>
      </c>
      <c r="H170" s="176"/>
      <c r="I170" s="178" t="str">
        <f t="shared" si="92"/>
        <v>X</v>
      </c>
      <c r="J170" s="176">
        <f t="shared" si="93"/>
        <v>36.599999999999994</v>
      </c>
      <c r="K170" s="178" t="str">
        <f t="shared" si="94"/>
        <v xml:space="preserve"> </v>
      </c>
      <c r="L170" s="176">
        <f t="shared" si="115"/>
        <v>0</v>
      </c>
      <c r="M170" s="178" t="str">
        <f t="shared" si="96"/>
        <v>X</v>
      </c>
      <c r="N170" s="177">
        <f t="shared" si="97"/>
        <v>36.599999999999994</v>
      </c>
      <c r="O170" s="178" t="str">
        <f t="shared" si="98"/>
        <v xml:space="preserve"> </v>
      </c>
      <c r="P170" s="176">
        <f t="shared" si="99"/>
        <v>0</v>
      </c>
      <c r="Q170" s="178" t="s">
        <v>0</v>
      </c>
      <c r="R170" s="176"/>
      <c r="S170" s="178" t="s">
        <v>2578</v>
      </c>
      <c r="T170" s="178" t="str">
        <f t="shared" si="100"/>
        <v>X</v>
      </c>
      <c r="U170" s="176">
        <f t="shared" si="112"/>
        <v>36.599999999999994</v>
      </c>
      <c r="V170" s="178" t="str">
        <f t="shared" si="101"/>
        <v xml:space="preserve"> </v>
      </c>
      <c r="W170" s="176">
        <f t="shared" si="113"/>
        <v>0</v>
      </c>
      <c r="X170" s="178" t="str">
        <f t="shared" si="102"/>
        <v xml:space="preserve"> </v>
      </c>
      <c r="Y170" s="176">
        <f t="shared" si="114"/>
        <v>0</v>
      </c>
      <c r="Z170" s="178" t="s">
        <v>2581</v>
      </c>
      <c r="AA170" s="178" t="str">
        <f t="shared" si="103"/>
        <v>X</v>
      </c>
      <c r="AB170" s="176">
        <f t="shared" si="104"/>
        <v>6.89</v>
      </c>
      <c r="AC170" s="178" t="str">
        <f t="shared" si="105"/>
        <v xml:space="preserve"> </v>
      </c>
      <c r="AD170" s="176">
        <f t="shared" si="106"/>
        <v>0</v>
      </c>
      <c r="AE170" s="178" t="str">
        <f t="shared" si="107"/>
        <v xml:space="preserve"> </v>
      </c>
      <c r="AF170" s="176">
        <f t="shared" si="108"/>
        <v>0</v>
      </c>
      <c r="AG170" s="178" t="str">
        <f t="shared" si="109"/>
        <v>X</v>
      </c>
      <c r="AH170" s="176">
        <f t="shared" si="110"/>
        <v>12.2</v>
      </c>
    </row>
    <row r="171" spans="2:34" ht="16.5" outlineLevel="1" x14ac:dyDescent="0.25">
      <c r="B171" s="175" t="s">
        <v>2714</v>
      </c>
      <c r="C171" s="176">
        <v>8.73</v>
      </c>
      <c r="D171" s="176">
        <v>13.6</v>
      </c>
      <c r="E171" s="194">
        <v>3</v>
      </c>
      <c r="F171" s="194">
        <v>2.1</v>
      </c>
      <c r="G171" s="194">
        <f t="shared" si="111"/>
        <v>0.89999999999999991</v>
      </c>
      <c r="H171" s="176"/>
      <c r="I171" s="178" t="str">
        <f t="shared" si="92"/>
        <v>X</v>
      </c>
      <c r="J171" s="176">
        <f t="shared" si="93"/>
        <v>40.799999999999997</v>
      </c>
      <c r="K171" s="178" t="str">
        <f t="shared" si="94"/>
        <v>X</v>
      </c>
      <c r="L171" s="176">
        <f t="shared" si="115"/>
        <v>28.56</v>
      </c>
      <c r="M171" s="178" t="str">
        <f t="shared" si="96"/>
        <v>X</v>
      </c>
      <c r="N171" s="177">
        <f t="shared" si="97"/>
        <v>12.239999999999998</v>
      </c>
      <c r="O171" s="178" t="str">
        <f t="shared" si="98"/>
        <v>X</v>
      </c>
      <c r="P171" s="176">
        <f t="shared" si="99"/>
        <v>28.56</v>
      </c>
      <c r="Q171" s="178" t="s">
        <v>0</v>
      </c>
      <c r="R171" s="176"/>
      <c r="S171" s="178" t="s">
        <v>2578</v>
      </c>
      <c r="T171" s="178" t="str">
        <f t="shared" si="100"/>
        <v>X</v>
      </c>
      <c r="U171" s="176">
        <f t="shared" si="112"/>
        <v>12.239999999999998</v>
      </c>
      <c r="V171" s="178" t="str">
        <f t="shared" si="101"/>
        <v xml:space="preserve"> </v>
      </c>
      <c r="W171" s="176">
        <f t="shared" si="113"/>
        <v>0</v>
      </c>
      <c r="X171" s="178" t="str">
        <f t="shared" si="102"/>
        <v xml:space="preserve"> </v>
      </c>
      <c r="Y171" s="176">
        <f t="shared" si="114"/>
        <v>0</v>
      </c>
      <c r="Z171" s="178" t="s">
        <v>2581</v>
      </c>
      <c r="AA171" s="178" t="str">
        <f t="shared" si="103"/>
        <v>X</v>
      </c>
      <c r="AB171" s="176">
        <f t="shared" si="104"/>
        <v>8.73</v>
      </c>
      <c r="AC171" s="178" t="str">
        <f t="shared" si="105"/>
        <v xml:space="preserve"> </v>
      </c>
      <c r="AD171" s="176">
        <f t="shared" si="106"/>
        <v>0</v>
      </c>
      <c r="AE171" s="178" t="str">
        <f t="shared" si="107"/>
        <v xml:space="preserve"> </v>
      </c>
      <c r="AF171" s="176">
        <f t="shared" si="108"/>
        <v>0</v>
      </c>
      <c r="AG171" s="178" t="str">
        <f t="shared" si="109"/>
        <v/>
      </c>
      <c r="AH171" s="176">
        <f t="shared" si="110"/>
        <v>0</v>
      </c>
    </row>
    <row r="172" spans="2:34" ht="16.5" outlineLevel="1" x14ac:dyDescent="0.25">
      <c r="B172" s="175" t="s">
        <v>2715</v>
      </c>
      <c r="C172" s="176">
        <v>8.75</v>
      </c>
      <c r="D172" s="176">
        <v>13.6</v>
      </c>
      <c r="E172" s="194">
        <v>3</v>
      </c>
      <c r="F172" s="194">
        <v>2.1</v>
      </c>
      <c r="G172" s="194">
        <f t="shared" si="111"/>
        <v>0.89999999999999991</v>
      </c>
      <c r="H172" s="176"/>
      <c r="I172" s="178" t="str">
        <f t="shared" si="92"/>
        <v>X</v>
      </c>
      <c r="J172" s="176">
        <f t="shared" si="93"/>
        <v>40.799999999999997</v>
      </c>
      <c r="K172" s="178" t="str">
        <f t="shared" si="94"/>
        <v>X</v>
      </c>
      <c r="L172" s="176">
        <f t="shared" si="115"/>
        <v>28.56</v>
      </c>
      <c r="M172" s="178" t="str">
        <f t="shared" si="96"/>
        <v>X</v>
      </c>
      <c r="N172" s="177">
        <f t="shared" si="97"/>
        <v>12.239999999999998</v>
      </c>
      <c r="O172" s="178" t="str">
        <f t="shared" si="98"/>
        <v>X</v>
      </c>
      <c r="P172" s="176">
        <f t="shared" si="99"/>
        <v>28.56</v>
      </c>
      <c r="Q172" s="178" t="s">
        <v>0</v>
      </c>
      <c r="R172" s="176"/>
      <c r="S172" s="178" t="s">
        <v>2578</v>
      </c>
      <c r="T172" s="178" t="str">
        <f t="shared" si="100"/>
        <v>X</v>
      </c>
      <c r="U172" s="176">
        <f t="shared" si="112"/>
        <v>12.239999999999998</v>
      </c>
      <c r="V172" s="178" t="str">
        <f t="shared" si="101"/>
        <v xml:space="preserve"> </v>
      </c>
      <c r="W172" s="176">
        <f t="shared" si="113"/>
        <v>0</v>
      </c>
      <c r="X172" s="178" t="str">
        <f t="shared" si="102"/>
        <v xml:space="preserve"> </v>
      </c>
      <c r="Y172" s="176">
        <f t="shared" si="114"/>
        <v>0</v>
      </c>
      <c r="Z172" s="178" t="s">
        <v>2581</v>
      </c>
      <c r="AA172" s="178" t="str">
        <f t="shared" si="103"/>
        <v>X</v>
      </c>
      <c r="AB172" s="176">
        <f t="shared" si="104"/>
        <v>8.75</v>
      </c>
      <c r="AC172" s="178" t="str">
        <f t="shared" si="105"/>
        <v xml:space="preserve"> </v>
      </c>
      <c r="AD172" s="176">
        <f t="shared" si="106"/>
        <v>0</v>
      </c>
      <c r="AE172" s="178" t="str">
        <f t="shared" si="107"/>
        <v xml:space="preserve"> </v>
      </c>
      <c r="AF172" s="176">
        <f t="shared" si="108"/>
        <v>0</v>
      </c>
      <c r="AG172" s="178" t="str">
        <f t="shared" si="109"/>
        <v/>
      </c>
      <c r="AH172" s="176">
        <f t="shared" si="110"/>
        <v>0</v>
      </c>
    </row>
    <row r="173" spans="2:34" ht="16.5" outlineLevel="1" x14ac:dyDescent="0.25">
      <c r="B173" s="175" t="s">
        <v>2670</v>
      </c>
      <c r="C173" s="176">
        <v>15.11</v>
      </c>
      <c r="D173" s="176">
        <v>17.77</v>
      </c>
      <c r="E173" s="194">
        <v>3</v>
      </c>
      <c r="F173" s="194">
        <v>0</v>
      </c>
      <c r="G173" s="194">
        <f t="shared" si="111"/>
        <v>3</v>
      </c>
      <c r="H173" s="176"/>
      <c r="I173" s="178" t="str">
        <f t="shared" si="92"/>
        <v>X</v>
      </c>
      <c r="J173" s="176">
        <f t="shared" si="93"/>
        <v>53.31</v>
      </c>
      <c r="K173" s="178" t="str">
        <f t="shared" si="94"/>
        <v xml:space="preserve"> </v>
      </c>
      <c r="L173" s="176">
        <f t="shared" si="115"/>
        <v>0</v>
      </c>
      <c r="M173" s="178" t="str">
        <f t="shared" si="96"/>
        <v>X</v>
      </c>
      <c r="N173" s="177">
        <f t="shared" si="97"/>
        <v>53.31</v>
      </c>
      <c r="O173" s="178" t="str">
        <f t="shared" si="98"/>
        <v xml:space="preserve"> </v>
      </c>
      <c r="P173" s="176">
        <f t="shared" si="99"/>
        <v>0</v>
      </c>
      <c r="Q173" s="178" t="s">
        <v>0</v>
      </c>
      <c r="R173" s="176"/>
      <c r="S173" s="178" t="s">
        <v>2580</v>
      </c>
      <c r="T173" s="178" t="str">
        <f t="shared" si="100"/>
        <v xml:space="preserve"> </v>
      </c>
      <c r="U173" s="176">
        <f t="shared" si="112"/>
        <v>0</v>
      </c>
      <c r="V173" s="178" t="str">
        <f t="shared" si="101"/>
        <v xml:space="preserve"> </v>
      </c>
      <c r="W173" s="176">
        <f t="shared" si="113"/>
        <v>0</v>
      </c>
      <c r="X173" s="178" t="str">
        <f t="shared" si="102"/>
        <v>X</v>
      </c>
      <c r="Y173" s="176">
        <f t="shared" si="114"/>
        <v>53.31</v>
      </c>
      <c r="Z173" s="178" t="s">
        <v>2583</v>
      </c>
      <c r="AA173" s="178" t="str">
        <f t="shared" si="103"/>
        <v xml:space="preserve"> </v>
      </c>
      <c r="AB173" s="176">
        <f t="shared" si="104"/>
        <v>0</v>
      </c>
      <c r="AC173" s="178" t="str">
        <f t="shared" si="105"/>
        <v xml:space="preserve"> </v>
      </c>
      <c r="AD173" s="176">
        <f t="shared" si="106"/>
        <v>0</v>
      </c>
      <c r="AE173" s="178" t="str">
        <f t="shared" si="107"/>
        <v>X</v>
      </c>
      <c r="AF173" s="176">
        <f t="shared" si="108"/>
        <v>15.11</v>
      </c>
      <c r="AG173" s="178" t="str">
        <f t="shared" si="109"/>
        <v>X</v>
      </c>
      <c r="AH173" s="176">
        <f t="shared" si="110"/>
        <v>17.77</v>
      </c>
    </row>
    <row r="174" spans="2:34" ht="16.5" outlineLevel="1" x14ac:dyDescent="0.25">
      <c r="B174" s="175" t="s">
        <v>2608</v>
      </c>
      <c r="C174" s="176">
        <v>30.8</v>
      </c>
      <c r="D174" s="176">
        <v>29.31</v>
      </c>
      <c r="E174" s="194">
        <v>3</v>
      </c>
      <c r="F174" s="194">
        <v>0</v>
      </c>
      <c r="G174" s="194">
        <f t="shared" si="111"/>
        <v>3</v>
      </c>
      <c r="H174" s="176">
        <v>2.2000000000000002</v>
      </c>
      <c r="I174" s="178" t="str">
        <f t="shared" si="92"/>
        <v>X</v>
      </c>
      <c r="J174" s="176">
        <f t="shared" ref="J174:J186" si="116">IF(I174="X",($D174-H174)*E174,0)</f>
        <v>81.33</v>
      </c>
      <c r="K174" s="178" t="str">
        <f t="shared" si="94"/>
        <v xml:space="preserve"> </v>
      </c>
      <c r="L174" s="176">
        <f t="shared" ref="L174:L186" si="117">IF(K174="X",($D174-H174)*F174,0)</f>
        <v>0</v>
      </c>
      <c r="M174" s="178" t="str">
        <f t="shared" si="96"/>
        <v>X</v>
      </c>
      <c r="N174" s="177">
        <f t="shared" ref="N174:N186" si="118">IF(M174="X",J174-L174,0)</f>
        <v>81.33</v>
      </c>
      <c r="O174" s="178" t="str">
        <f t="shared" si="98"/>
        <v xml:space="preserve"> </v>
      </c>
      <c r="P174" s="176">
        <f t="shared" ref="P174:P186" si="119">IF(L174&gt;0,L174,0)</f>
        <v>0</v>
      </c>
      <c r="Q174" s="178" t="s">
        <v>0</v>
      </c>
      <c r="R174" s="176"/>
      <c r="S174" s="178" t="s">
        <v>2578</v>
      </c>
      <c r="T174" s="178" t="str">
        <f t="shared" si="100"/>
        <v>X</v>
      </c>
      <c r="U174" s="176">
        <f t="shared" si="112"/>
        <v>81.33</v>
      </c>
      <c r="V174" s="178" t="str">
        <f t="shared" si="101"/>
        <v xml:space="preserve"> </v>
      </c>
      <c r="W174" s="176">
        <f t="shared" si="113"/>
        <v>0</v>
      </c>
      <c r="X174" s="178" t="str">
        <f t="shared" si="102"/>
        <v xml:space="preserve"> </v>
      </c>
      <c r="Y174" s="176">
        <f t="shared" si="114"/>
        <v>0</v>
      </c>
      <c r="Z174" s="178" t="s">
        <v>2582</v>
      </c>
      <c r="AA174" s="178" t="str">
        <f t="shared" si="103"/>
        <v xml:space="preserve"> </v>
      </c>
      <c r="AB174" s="176">
        <f t="shared" si="104"/>
        <v>0</v>
      </c>
      <c r="AC174" s="178" t="str">
        <f t="shared" si="105"/>
        <v>X</v>
      </c>
      <c r="AD174" s="176">
        <f t="shared" si="106"/>
        <v>30.8</v>
      </c>
      <c r="AE174" s="178" t="str">
        <f t="shared" si="107"/>
        <v xml:space="preserve"> </v>
      </c>
      <c r="AF174" s="176">
        <f t="shared" si="108"/>
        <v>0</v>
      </c>
      <c r="AG174" s="178" t="str">
        <f t="shared" si="109"/>
        <v>X</v>
      </c>
      <c r="AH174" s="176">
        <f t="shared" si="110"/>
        <v>27.11</v>
      </c>
    </row>
    <row r="175" spans="2:34" ht="16.5" outlineLevel="1" x14ac:dyDescent="0.25">
      <c r="B175" s="175" t="s">
        <v>2716</v>
      </c>
      <c r="C175" s="176">
        <v>46.82</v>
      </c>
      <c r="D175" s="176">
        <v>28.32</v>
      </c>
      <c r="E175" s="194">
        <v>3</v>
      </c>
      <c r="F175" s="194">
        <v>0</v>
      </c>
      <c r="G175" s="194">
        <f t="shared" si="111"/>
        <v>3</v>
      </c>
      <c r="H175" s="176">
        <f>4.6+2.6+2.2</f>
        <v>9.3999999999999986</v>
      </c>
      <c r="I175" s="178" t="str">
        <f t="shared" si="92"/>
        <v>X</v>
      </c>
      <c r="J175" s="176">
        <f t="shared" si="116"/>
        <v>56.760000000000005</v>
      </c>
      <c r="K175" s="178" t="str">
        <f t="shared" si="94"/>
        <v xml:space="preserve"> </v>
      </c>
      <c r="L175" s="176">
        <f t="shared" si="117"/>
        <v>0</v>
      </c>
      <c r="M175" s="178" t="str">
        <f t="shared" si="96"/>
        <v>X</v>
      </c>
      <c r="N175" s="177">
        <f t="shared" si="118"/>
        <v>56.760000000000005</v>
      </c>
      <c r="O175" s="178" t="str">
        <f t="shared" si="98"/>
        <v xml:space="preserve"> </v>
      </c>
      <c r="P175" s="176">
        <f t="shared" si="119"/>
        <v>0</v>
      </c>
      <c r="Q175" s="178" t="s">
        <v>0</v>
      </c>
      <c r="R175" s="176"/>
      <c r="S175" s="178" t="s">
        <v>2580</v>
      </c>
      <c r="T175" s="178" t="str">
        <f t="shared" si="100"/>
        <v xml:space="preserve"> </v>
      </c>
      <c r="U175" s="176">
        <f t="shared" si="112"/>
        <v>0</v>
      </c>
      <c r="V175" s="178" t="str">
        <f t="shared" si="101"/>
        <v xml:space="preserve"> </v>
      </c>
      <c r="W175" s="176">
        <f t="shared" si="113"/>
        <v>0</v>
      </c>
      <c r="X175" s="178" t="str">
        <f t="shared" si="102"/>
        <v>X</v>
      </c>
      <c r="Y175" s="176">
        <f t="shared" si="114"/>
        <v>56.760000000000005</v>
      </c>
      <c r="Z175" s="178" t="s">
        <v>2581</v>
      </c>
      <c r="AA175" s="178" t="str">
        <f t="shared" si="103"/>
        <v>X</v>
      </c>
      <c r="AB175" s="176">
        <f t="shared" si="104"/>
        <v>46.82</v>
      </c>
      <c r="AC175" s="178" t="str">
        <f t="shared" si="105"/>
        <v xml:space="preserve"> </v>
      </c>
      <c r="AD175" s="176">
        <f t="shared" si="106"/>
        <v>0</v>
      </c>
      <c r="AE175" s="178" t="str">
        <f t="shared" si="107"/>
        <v xml:space="preserve"> </v>
      </c>
      <c r="AF175" s="176">
        <f t="shared" si="108"/>
        <v>0</v>
      </c>
      <c r="AG175" s="178" t="str">
        <f t="shared" si="109"/>
        <v>X</v>
      </c>
      <c r="AH175" s="176">
        <f t="shared" si="110"/>
        <v>18.920000000000002</v>
      </c>
    </row>
    <row r="176" spans="2:34" ht="16.5" outlineLevel="1" x14ac:dyDescent="0.25">
      <c r="B176" s="175" t="s">
        <v>2717</v>
      </c>
      <c r="C176" s="176">
        <v>29.78</v>
      </c>
      <c r="D176" s="176">
        <v>26.89</v>
      </c>
      <c r="E176" s="194">
        <v>3</v>
      </c>
      <c r="F176" s="194">
        <v>0</v>
      </c>
      <c r="G176" s="194">
        <f t="shared" si="111"/>
        <v>3</v>
      </c>
      <c r="H176" s="176"/>
      <c r="I176" s="178" t="str">
        <f t="shared" si="92"/>
        <v>X</v>
      </c>
      <c r="J176" s="176">
        <f t="shared" si="116"/>
        <v>80.67</v>
      </c>
      <c r="K176" s="178" t="str">
        <f t="shared" si="94"/>
        <v xml:space="preserve"> </v>
      </c>
      <c r="L176" s="176">
        <f t="shared" si="117"/>
        <v>0</v>
      </c>
      <c r="M176" s="178" t="str">
        <f t="shared" si="96"/>
        <v>X</v>
      </c>
      <c r="N176" s="177">
        <f t="shared" si="118"/>
        <v>80.67</v>
      </c>
      <c r="O176" s="178" t="str">
        <f t="shared" si="98"/>
        <v xml:space="preserve"> </v>
      </c>
      <c r="P176" s="176">
        <f t="shared" si="119"/>
        <v>0</v>
      </c>
      <c r="Q176" s="178" t="s">
        <v>0</v>
      </c>
      <c r="R176" s="176"/>
      <c r="S176" s="178" t="s">
        <v>2578</v>
      </c>
      <c r="T176" s="178" t="str">
        <f t="shared" si="100"/>
        <v>X</v>
      </c>
      <c r="U176" s="176">
        <f t="shared" si="112"/>
        <v>80.67</v>
      </c>
      <c r="V176" s="178" t="str">
        <f t="shared" si="101"/>
        <v xml:space="preserve"> </v>
      </c>
      <c r="W176" s="176">
        <f t="shared" si="113"/>
        <v>0</v>
      </c>
      <c r="X176" s="178" t="str">
        <f t="shared" si="102"/>
        <v xml:space="preserve"> </v>
      </c>
      <c r="Y176" s="176">
        <f t="shared" si="114"/>
        <v>0</v>
      </c>
      <c r="Z176" s="178" t="s">
        <v>2582</v>
      </c>
      <c r="AA176" s="178" t="str">
        <f t="shared" si="103"/>
        <v xml:space="preserve"> </v>
      </c>
      <c r="AB176" s="176">
        <f t="shared" si="104"/>
        <v>0</v>
      </c>
      <c r="AC176" s="178" t="str">
        <f t="shared" si="105"/>
        <v>X</v>
      </c>
      <c r="AD176" s="176">
        <f t="shared" si="106"/>
        <v>29.78</v>
      </c>
      <c r="AE176" s="178" t="str">
        <f t="shared" si="107"/>
        <v xml:space="preserve"> </v>
      </c>
      <c r="AF176" s="176">
        <f t="shared" si="108"/>
        <v>0</v>
      </c>
      <c r="AG176" s="178" t="str">
        <f t="shared" si="109"/>
        <v>X</v>
      </c>
      <c r="AH176" s="176">
        <f t="shared" si="110"/>
        <v>26.89</v>
      </c>
    </row>
    <row r="177" spans="2:34" ht="16.5" outlineLevel="1" x14ac:dyDescent="0.25">
      <c r="B177" s="175" t="s">
        <v>2718</v>
      </c>
      <c r="C177" s="176">
        <v>154.55000000000001</v>
      </c>
      <c r="D177" s="176">
        <v>136.66999999999999</v>
      </c>
      <c r="E177" s="194">
        <v>3</v>
      </c>
      <c r="F177" s="194">
        <v>0</v>
      </c>
      <c r="G177" s="194">
        <f t="shared" si="111"/>
        <v>3</v>
      </c>
      <c r="H177" s="176">
        <v>2.25</v>
      </c>
      <c r="I177" s="178" t="str">
        <f t="shared" si="92"/>
        <v>X</v>
      </c>
      <c r="J177" s="176">
        <f t="shared" si="116"/>
        <v>403.26</v>
      </c>
      <c r="K177" s="178" t="str">
        <f t="shared" si="94"/>
        <v xml:space="preserve"> </v>
      </c>
      <c r="L177" s="176">
        <f t="shared" si="117"/>
        <v>0</v>
      </c>
      <c r="M177" s="178" t="str">
        <f t="shared" si="96"/>
        <v>X</v>
      </c>
      <c r="N177" s="177">
        <f t="shared" si="118"/>
        <v>403.26</v>
      </c>
      <c r="O177" s="178" t="str">
        <f t="shared" si="98"/>
        <v xml:space="preserve"> </v>
      </c>
      <c r="P177" s="176">
        <f t="shared" si="119"/>
        <v>0</v>
      </c>
      <c r="Q177" s="178" t="s">
        <v>0</v>
      </c>
      <c r="R177" s="176"/>
      <c r="S177" s="178" t="s">
        <v>2578</v>
      </c>
      <c r="T177" s="178" t="str">
        <f t="shared" si="100"/>
        <v>X</v>
      </c>
      <c r="U177" s="176">
        <f t="shared" si="112"/>
        <v>403.26</v>
      </c>
      <c r="V177" s="178" t="str">
        <f t="shared" si="101"/>
        <v xml:space="preserve"> </v>
      </c>
      <c r="W177" s="176">
        <f t="shared" si="113"/>
        <v>0</v>
      </c>
      <c r="X177" s="178" t="str">
        <f t="shared" si="102"/>
        <v xml:space="preserve"> </v>
      </c>
      <c r="Y177" s="176">
        <f t="shared" si="114"/>
        <v>0</v>
      </c>
      <c r="Z177" s="178" t="s">
        <v>2581</v>
      </c>
      <c r="AA177" s="178" t="str">
        <f t="shared" si="103"/>
        <v>X</v>
      </c>
      <c r="AB177" s="176">
        <f t="shared" si="104"/>
        <v>154.55000000000001</v>
      </c>
      <c r="AC177" s="178" t="str">
        <f t="shared" si="105"/>
        <v xml:space="preserve"> </v>
      </c>
      <c r="AD177" s="176">
        <f t="shared" si="106"/>
        <v>0</v>
      </c>
      <c r="AE177" s="178" t="str">
        <f t="shared" si="107"/>
        <v xml:space="preserve"> </v>
      </c>
      <c r="AF177" s="176">
        <f t="shared" si="108"/>
        <v>0</v>
      </c>
      <c r="AG177" s="178" t="str">
        <f t="shared" si="109"/>
        <v>X</v>
      </c>
      <c r="AH177" s="176">
        <f t="shared" si="110"/>
        <v>134.41999999999999</v>
      </c>
    </row>
    <row r="178" spans="2:34" ht="16.5" outlineLevel="1" x14ac:dyDescent="0.25">
      <c r="B178" s="175" t="s">
        <v>2608</v>
      </c>
      <c r="C178" s="176">
        <v>93.73</v>
      </c>
      <c r="D178" s="176">
        <v>75.180000000000007</v>
      </c>
      <c r="E178" s="194">
        <v>3</v>
      </c>
      <c r="F178" s="194">
        <v>0</v>
      </c>
      <c r="G178" s="194">
        <f t="shared" si="111"/>
        <v>3</v>
      </c>
      <c r="H178" s="176"/>
      <c r="I178" s="178" t="str">
        <f t="shared" si="92"/>
        <v>X</v>
      </c>
      <c r="J178" s="176">
        <f t="shared" si="116"/>
        <v>225.54000000000002</v>
      </c>
      <c r="K178" s="178" t="str">
        <f t="shared" si="94"/>
        <v xml:space="preserve"> </v>
      </c>
      <c r="L178" s="176">
        <f t="shared" si="117"/>
        <v>0</v>
      </c>
      <c r="M178" s="178" t="str">
        <f t="shared" si="96"/>
        <v>X</v>
      </c>
      <c r="N178" s="177">
        <f t="shared" si="118"/>
        <v>225.54000000000002</v>
      </c>
      <c r="O178" s="178" t="str">
        <f t="shared" si="98"/>
        <v xml:space="preserve"> </v>
      </c>
      <c r="P178" s="176">
        <f t="shared" si="119"/>
        <v>0</v>
      </c>
      <c r="Q178" s="178" t="s">
        <v>0</v>
      </c>
      <c r="R178" s="176"/>
      <c r="S178" s="178" t="s">
        <v>2578</v>
      </c>
      <c r="T178" s="178" t="str">
        <f t="shared" si="100"/>
        <v>X</v>
      </c>
      <c r="U178" s="176">
        <f t="shared" si="112"/>
        <v>225.54000000000002</v>
      </c>
      <c r="V178" s="178" t="str">
        <f t="shared" si="101"/>
        <v xml:space="preserve"> </v>
      </c>
      <c r="W178" s="176">
        <f t="shared" si="113"/>
        <v>0</v>
      </c>
      <c r="X178" s="178" t="str">
        <f t="shared" si="102"/>
        <v xml:space="preserve"> </v>
      </c>
      <c r="Y178" s="176">
        <f t="shared" si="114"/>
        <v>0</v>
      </c>
      <c r="Z178" s="178" t="s">
        <v>2582</v>
      </c>
      <c r="AA178" s="178" t="str">
        <f t="shared" si="103"/>
        <v xml:space="preserve"> </v>
      </c>
      <c r="AB178" s="176">
        <f t="shared" si="104"/>
        <v>0</v>
      </c>
      <c r="AC178" s="178" t="str">
        <f t="shared" si="105"/>
        <v>X</v>
      </c>
      <c r="AD178" s="176">
        <f t="shared" si="106"/>
        <v>93.73</v>
      </c>
      <c r="AE178" s="178" t="str">
        <f t="shared" si="107"/>
        <v xml:space="preserve"> </v>
      </c>
      <c r="AF178" s="176">
        <f t="shared" si="108"/>
        <v>0</v>
      </c>
      <c r="AG178" s="178" t="str">
        <f t="shared" si="109"/>
        <v>X</v>
      </c>
      <c r="AH178" s="176">
        <f t="shared" si="110"/>
        <v>75.180000000000007</v>
      </c>
    </row>
    <row r="179" spans="2:34" ht="16.5" outlineLevel="1" x14ac:dyDescent="0.25">
      <c r="B179" s="175" t="s">
        <v>2719</v>
      </c>
      <c r="C179" s="176">
        <v>53.04</v>
      </c>
      <c r="D179" s="176">
        <v>47.55</v>
      </c>
      <c r="E179" s="194">
        <v>3</v>
      </c>
      <c r="F179" s="194">
        <v>0</v>
      </c>
      <c r="G179" s="194">
        <f t="shared" si="111"/>
        <v>3</v>
      </c>
      <c r="H179" s="176"/>
      <c r="I179" s="178" t="str">
        <f t="shared" si="92"/>
        <v>X</v>
      </c>
      <c r="J179" s="176">
        <f t="shared" si="116"/>
        <v>142.64999999999998</v>
      </c>
      <c r="K179" s="178" t="str">
        <f t="shared" si="94"/>
        <v xml:space="preserve"> </v>
      </c>
      <c r="L179" s="176">
        <f t="shared" si="117"/>
        <v>0</v>
      </c>
      <c r="M179" s="178" t="str">
        <f t="shared" si="96"/>
        <v>X</v>
      </c>
      <c r="N179" s="177">
        <f t="shared" si="118"/>
        <v>142.64999999999998</v>
      </c>
      <c r="O179" s="178" t="str">
        <f t="shared" si="98"/>
        <v xml:space="preserve"> </v>
      </c>
      <c r="P179" s="176">
        <f t="shared" si="119"/>
        <v>0</v>
      </c>
      <c r="Q179" s="178" t="s">
        <v>0</v>
      </c>
      <c r="R179" s="176"/>
      <c r="S179" s="178" t="s">
        <v>2578</v>
      </c>
      <c r="T179" s="178" t="str">
        <f t="shared" si="100"/>
        <v>X</v>
      </c>
      <c r="U179" s="176">
        <f t="shared" si="112"/>
        <v>142.64999999999998</v>
      </c>
      <c r="V179" s="178" t="str">
        <f t="shared" si="101"/>
        <v xml:space="preserve"> </v>
      </c>
      <c r="W179" s="176">
        <f t="shared" si="113"/>
        <v>0</v>
      </c>
      <c r="X179" s="178" t="str">
        <f t="shared" si="102"/>
        <v xml:space="preserve"> </v>
      </c>
      <c r="Y179" s="176">
        <f t="shared" si="114"/>
        <v>0</v>
      </c>
      <c r="Z179" s="178" t="s">
        <v>2582</v>
      </c>
      <c r="AA179" s="178" t="str">
        <f t="shared" si="103"/>
        <v xml:space="preserve"> </v>
      </c>
      <c r="AB179" s="176">
        <f t="shared" si="104"/>
        <v>0</v>
      </c>
      <c r="AC179" s="178" t="str">
        <f t="shared" si="105"/>
        <v>X</v>
      </c>
      <c r="AD179" s="176">
        <f t="shared" si="106"/>
        <v>53.04</v>
      </c>
      <c r="AE179" s="178" t="str">
        <f t="shared" si="107"/>
        <v xml:space="preserve"> </v>
      </c>
      <c r="AF179" s="176">
        <f t="shared" si="108"/>
        <v>0</v>
      </c>
      <c r="AG179" s="178" t="str">
        <f t="shared" si="109"/>
        <v>X</v>
      </c>
      <c r="AH179" s="176">
        <f t="shared" si="110"/>
        <v>47.55</v>
      </c>
    </row>
    <row r="180" spans="2:34" ht="16.5" outlineLevel="1" x14ac:dyDescent="0.25">
      <c r="B180" s="175" t="s">
        <v>2594</v>
      </c>
      <c r="C180" s="176">
        <v>27</v>
      </c>
      <c r="D180" s="176">
        <v>30.39</v>
      </c>
      <c r="E180" s="194">
        <v>3</v>
      </c>
      <c r="F180" s="194">
        <v>0</v>
      </c>
      <c r="G180" s="194">
        <f t="shared" si="111"/>
        <v>3</v>
      </c>
      <c r="H180" s="176">
        <v>1.5</v>
      </c>
      <c r="I180" s="178" t="str">
        <f t="shared" si="92"/>
        <v>X</v>
      </c>
      <c r="J180" s="176">
        <f t="shared" si="116"/>
        <v>86.67</v>
      </c>
      <c r="K180" s="178" t="str">
        <f t="shared" si="94"/>
        <v xml:space="preserve"> </v>
      </c>
      <c r="L180" s="176">
        <f t="shared" si="117"/>
        <v>0</v>
      </c>
      <c r="M180" s="178" t="str">
        <f t="shared" si="96"/>
        <v>X</v>
      </c>
      <c r="N180" s="177">
        <f t="shared" si="118"/>
        <v>86.67</v>
      </c>
      <c r="O180" s="178" t="str">
        <f t="shared" si="98"/>
        <v xml:space="preserve"> </v>
      </c>
      <c r="P180" s="176">
        <f t="shared" si="119"/>
        <v>0</v>
      </c>
      <c r="Q180" s="178" t="s">
        <v>0</v>
      </c>
      <c r="R180" s="176"/>
      <c r="S180" s="178" t="s">
        <v>2578</v>
      </c>
      <c r="T180" s="178" t="str">
        <f t="shared" si="100"/>
        <v>X</v>
      </c>
      <c r="U180" s="176">
        <f t="shared" si="112"/>
        <v>86.67</v>
      </c>
      <c r="V180" s="178" t="str">
        <f t="shared" si="101"/>
        <v xml:space="preserve"> </v>
      </c>
      <c r="W180" s="176">
        <f t="shared" si="113"/>
        <v>0</v>
      </c>
      <c r="X180" s="178" t="str">
        <f t="shared" si="102"/>
        <v xml:space="preserve"> </v>
      </c>
      <c r="Y180" s="176">
        <f t="shared" si="114"/>
        <v>0</v>
      </c>
      <c r="Z180" s="178" t="s">
        <v>2582</v>
      </c>
      <c r="AA180" s="178" t="str">
        <f t="shared" si="103"/>
        <v xml:space="preserve"> </v>
      </c>
      <c r="AB180" s="176">
        <f t="shared" si="104"/>
        <v>0</v>
      </c>
      <c r="AC180" s="178" t="str">
        <f t="shared" si="105"/>
        <v>X</v>
      </c>
      <c r="AD180" s="176">
        <f t="shared" si="106"/>
        <v>27</v>
      </c>
      <c r="AE180" s="178" t="str">
        <f t="shared" si="107"/>
        <v xml:space="preserve"> </v>
      </c>
      <c r="AF180" s="176">
        <f t="shared" si="108"/>
        <v>0</v>
      </c>
      <c r="AG180" s="178" t="str">
        <f t="shared" si="109"/>
        <v>X</v>
      </c>
      <c r="AH180" s="176">
        <f t="shared" si="110"/>
        <v>28.89</v>
      </c>
    </row>
    <row r="181" spans="2:34" ht="16.5" outlineLevel="1" x14ac:dyDescent="0.25">
      <c r="B181" s="175" t="s">
        <v>2720</v>
      </c>
      <c r="C181" s="176">
        <v>1.73</v>
      </c>
      <c r="D181" s="176">
        <v>5.4</v>
      </c>
      <c r="E181" s="194">
        <v>3</v>
      </c>
      <c r="F181" s="194">
        <v>2.1</v>
      </c>
      <c r="G181" s="194">
        <f t="shared" si="111"/>
        <v>0.89999999999999991</v>
      </c>
      <c r="H181" s="176"/>
      <c r="I181" s="178" t="str">
        <f t="shared" si="92"/>
        <v>X</v>
      </c>
      <c r="J181" s="176">
        <f t="shared" si="116"/>
        <v>16.200000000000003</v>
      </c>
      <c r="K181" s="178" t="str">
        <f t="shared" si="94"/>
        <v>X</v>
      </c>
      <c r="L181" s="176">
        <f t="shared" si="117"/>
        <v>11.340000000000002</v>
      </c>
      <c r="M181" s="178" t="str">
        <f t="shared" si="96"/>
        <v>X</v>
      </c>
      <c r="N181" s="177">
        <f t="shared" si="118"/>
        <v>4.8600000000000012</v>
      </c>
      <c r="O181" s="178" t="str">
        <f t="shared" si="98"/>
        <v>X</v>
      </c>
      <c r="P181" s="176">
        <f t="shared" si="119"/>
        <v>11.340000000000002</v>
      </c>
      <c r="Q181" s="178" t="s">
        <v>0</v>
      </c>
      <c r="R181" s="176"/>
      <c r="S181" s="178" t="s">
        <v>2578</v>
      </c>
      <c r="T181" s="178" t="str">
        <f t="shared" si="100"/>
        <v>X</v>
      </c>
      <c r="U181" s="176">
        <f t="shared" si="112"/>
        <v>4.8600000000000012</v>
      </c>
      <c r="V181" s="178" t="str">
        <f t="shared" si="101"/>
        <v xml:space="preserve"> </v>
      </c>
      <c r="W181" s="176">
        <f t="shared" si="113"/>
        <v>0</v>
      </c>
      <c r="X181" s="178" t="str">
        <f t="shared" si="102"/>
        <v xml:space="preserve"> </v>
      </c>
      <c r="Y181" s="176">
        <f t="shared" si="114"/>
        <v>0</v>
      </c>
      <c r="Z181" s="178" t="s">
        <v>2581</v>
      </c>
      <c r="AA181" s="178" t="str">
        <f t="shared" si="103"/>
        <v>X</v>
      </c>
      <c r="AB181" s="176">
        <f t="shared" si="104"/>
        <v>1.73</v>
      </c>
      <c r="AC181" s="178" t="str">
        <f t="shared" si="105"/>
        <v xml:space="preserve"> </v>
      </c>
      <c r="AD181" s="176">
        <f t="shared" si="106"/>
        <v>0</v>
      </c>
      <c r="AE181" s="178" t="str">
        <f t="shared" si="107"/>
        <v xml:space="preserve"> </v>
      </c>
      <c r="AF181" s="176">
        <f t="shared" si="108"/>
        <v>0</v>
      </c>
      <c r="AG181" s="178" t="str">
        <f t="shared" si="109"/>
        <v/>
      </c>
      <c r="AH181" s="176">
        <f t="shared" si="110"/>
        <v>0</v>
      </c>
    </row>
    <row r="182" spans="2:34" ht="16.5" outlineLevel="1" x14ac:dyDescent="0.25">
      <c r="B182" s="175" t="s">
        <v>2721</v>
      </c>
      <c r="C182" s="176">
        <v>1.73</v>
      </c>
      <c r="D182" s="176">
        <v>5.4</v>
      </c>
      <c r="E182" s="194">
        <v>3</v>
      </c>
      <c r="F182" s="194">
        <v>2.1</v>
      </c>
      <c r="G182" s="194">
        <f t="shared" si="111"/>
        <v>0.89999999999999991</v>
      </c>
      <c r="H182" s="176"/>
      <c r="I182" s="178" t="str">
        <f t="shared" si="92"/>
        <v>X</v>
      </c>
      <c r="J182" s="176">
        <f t="shared" si="116"/>
        <v>16.200000000000003</v>
      </c>
      <c r="K182" s="178" t="str">
        <f t="shared" si="94"/>
        <v>X</v>
      </c>
      <c r="L182" s="176">
        <f t="shared" si="117"/>
        <v>11.340000000000002</v>
      </c>
      <c r="M182" s="178" t="str">
        <f t="shared" si="96"/>
        <v>X</v>
      </c>
      <c r="N182" s="177">
        <f t="shared" si="118"/>
        <v>4.8600000000000012</v>
      </c>
      <c r="O182" s="178" t="str">
        <f t="shared" si="98"/>
        <v>X</v>
      </c>
      <c r="P182" s="176">
        <f t="shared" si="119"/>
        <v>11.340000000000002</v>
      </c>
      <c r="Q182" s="178" t="s">
        <v>0</v>
      </c>
      <c r="R182" s="176"/>
      <c r="S182" s="178" t="s">
        <v>2578</v>
      </c>
      <c r="T182" s="178" t="str">
        <f t="shared" si="100"/>
        <v>X</v>
      </c>
      <c r="U182" s="176">
        <f t="shared" si="112"/>
        <v>4.8600000000000012</v>
      </c>
      <c r="V182" s="178" t="str">
        <f t="shared" si="101"/>
        <v xml:space="preserve"> </v>
      </c>
      <c r="W182" s="176">
        <f t="shared" si="113"/>
        <v>0</v>
      </c>
      <c r="X182" s="178" t="str">
        <f t="shared" si="102"/>
        <v xml:space="preserve"> </v>
      </c>
      <c r="Y182" s="176">
        <f t="shared" si="114"/>
        <v>0</v>
      </c>
      <c r="Z182" s="178" t="s">
        <v>2581</v>
      </c>
      <c r="AA182" s="178" t="str">
        <f t="shared" si="103"/>
        <v>X</v>
      </c>
      <c r="AB182" s="176">
        <f t="shared" si="104"/>
        <v>1.73</v>
      </c>
      <c r="AC182" s="178" t="str">
        <f t="shared" si="105"/>
        <v xml:space="preserve"> </v>
      </c>
      <c r="AD182" s="176">
        <f t="shared" si="106"/>
        <v>0</v>
      </c>
      <c r="AE182" s="178" t="str">
        <f t="shared" si="107"/>
        <v xml:space="preserve"> </v>
      </c>
      <c r="AF182" s="176">
        <f t="shared" si="108"/>
        <v>0</v>
      </c>
      <c r="AG182" s="178" t="str">
        <f t="shared" si="109"/>
        <v/>
      </c>
      <c r="AH182" s="176">
        <f t="shared" si="110"/>
        <v>0</v>
      </c>
    </row>
    <row r="183" spans="2:34" ht="16.5" outlineLevel="1" x14ac:dyDescent="0.25">
      <c r="B183" s="175" t="s">
        <v>2591</v>
      </c>
      <c r="C183" s="176">
        <v>3.72</v>
      </c>
      <c r="D183" s="176">
        <v>7.81</v>
      </c>
      <c r="E183" s="194">
        <v>3</v>
      </c>
      <c r="F183" s="194">
        <v>2.1</v>
      </c>
      <c r="G183" s="194">
        <f t="shared" si="111"/>
        <v>0.89999999999999991</v>
      </c>
      <c r="H183" s="176"/>
      <c r="I183" s="178" t="str">
        <f t="shared" si="92"/>
        <v>X</v>
      </c>
      <c r="J183" s="176">
        <f t="shared" si="116"/>
        <v>23.43</v>
      </c>
      <c r="K183" s="178" t="str">
        <f t="shared" si="94"/>
        <v>X</v>
      </c>
      <c r="L183" s="176">
        <f t="shared" si="117"/>
        <v>16.401</v>
      </c>
      <c r="M183" s="178" t="str">
        <f t="shared" si="96"/>
        <v>X</v>
      </c>
      <c r="N183" s="177">
        <f t="shared" si="118"/>
        <v>7.0289999999999999</v>
      </c>
      <c r="O183" s="178" t="str">
        <f t="shared" si="98"/>
        <v>X</v>
      </c>
      <c r="P183" s="176">
        <f t="shared" si="119"/>
        <v>16.401</v>
      </c>
      <c r="Q183" s="178" t="s">
        <v>0</v>
      </c>
      <c r="R183" s="176"/>
      <c r="S183" s="178" t="s">
        <v>2578</v>
      </c>
      <c r="T183" s="178" t="str">
        <f t="shared" si="100"/>
        <v>X</v>
      </c>
      <c r="U183" s="176">
        <f t="shared" si="112"/>
        <v>7.0289999999999999</v>
      </c>
      <c r="V183" s="178" t="str">
        <f t="shared" si="101"/>
        <v xml:space="preserve"> </v>
      </c>
      <c r="W183" s="176">
        <f t="shared" si="113"/>
        <v>0</v>
      </c>
      <c r="X183" s="178" t="str">
        <f t="shared" si="102"/>
        <v xml:space="preserve"> </v>
      </c>
      <c r="Y183" s="176">
        <f t="shared" si="114"/>
        <v>0</v>
      </c>
      <c r="Z183" s="178" t="s">
        <v>2581</v>
      </c>
      <c r="AA183" s="178" t="str">
        <f t="shared" si="103"/>
        <v>X</v>
      </c>
      <c r="AB183" s="176">
        <f t="shared" si="104"/>
        <v>3.72</v>
      </c>
      <c r="AC183" s="178" t="str">
        <f t="shared" si="105"/>
        <v xml:space="preserve"> </v>
      </c>
      <c r="AD183" s="176">
        <f t="shared" si="106"/>
        <v>0</v>
      </c>
      <c r="AE183" s="178" t="str">
        <f t="shared" si="107"/>
        <v xml:space="preserve"> </v>
      </c>
      <c r="AF183" s="176">
        <f t="shared" si="108"/>
        <v>0</v>
      </c>
      <c r="AG183" s="178" t="str">
        <f t="shared" si="109"/>
        <v/>
      </c>
      <c r="AH183" s="176">
        <f t="shared" si="110"/>
        <v>0</v>
      </c>
    </row>
    <row r="184" spans="2:34" ht="16.5" outlineLevel="1" x14ac:dyDescent="0.25">
      <c r="B184" s="175" t="s">
        <v>2722</v>
      </c>
      <c r="C184" s="176">
        <v>5.41</v>
      </c>
      <c r="D184" s="176">
        <v>10.220000000000001</v>
      </c>
      <c r="E184" s="194">
        <v>3</v>
      </c>
      <c r="F184" s="194">
        <v>3</v>
      </c>
      <c r="G184" s="194">
        <f t="shared" si="111"/>
        <v>0</v>
      </c>
      <c r="H184" s="176">
        <v>1.5</v>
      </c>
      <c r="I184" s="178" t="str">
        <f t="shared" si="92"/>
        <v>X</v>
      </c>
      <c r="J184" s="176">
        <f t="shared" si="116"/>
        <v>26.160000000000004</v>
      </c>
      <c r="K184" s="178" t="str">
        <f t="shared" si="94"/>
        <v>X</v>
      </c>
      <c r="L184" s="176">
        <f t="shared" si="117"/>
        <v>26.160000000000004</v>
      </c>
      <c r="M184" s="178" t="str">
        <f t="shared" si="96"/>
        <v>X</v>
      </c>
      <c r="N184" s="177">
        <f t="shared" si="118"/>
        <v>0</v>
      </c>
      <c r="O184" s="178" t="str">
        <f t="shared" si="98"/>
        <v>X</v>
      </c>
      <c r="P184" s="176">
        <f t="shared" si="119"/>
        <v>26.160000000000004</v>
      </c>
      <c r="Q184" s="178" t="s">
        <v>0</v>
      </c>
      <c r="R184" s="176"/>
      <c r="S184" s="178" t="s">
        <v>2578</v>
      </c>
      <c r="T184" s="178" t="str">
        <f t="shared" si="100"/>
        <v>X</v>
      </c>
      <c r="U184" s="176">
        <f t="shared" si="112"/>
        <v>0</v>
      </c>
      <c r="V184" s="178" t="str">
        <f t="shared" si="101"/>
        <v xml:space="preserve"> </v>
      </c>
      <c r="W184" s="176">
        <f t="shared" si="113"/>
        <v>0</v>
      </c>
      <c r="X184" s="178" t="str">
        <f t="shared" si="102"/>
        <v xml:space="preserve"> </v>
      </c>
      <c r="Y184" s="176">
        <f t="shared" si="114"/>
        <v>0</v>
      </c>
      <c r="Z184" s="178" t="s">
        <v>2581</v>
      </c>
      <c r="AA184" s="178" t="str">
        <f t="shared" si="103"/>
        <v>X</v>
      </c>
      <c r="AB184" s="176">
        <f t="shared" si="104"/>
        <v>5.41</v>
      </c>
      <c r="AC184" s="178" t="str">
        <f t="shared" si="105"/>
        <v xml:space="preserve"> </v>
      </c>
      <c r="AD184" s="176">
        <f t="shared" si="106"/>
        <v>0</v>
      </c>
      <c r="AE184" s="178" t="str">
        <f t="shared" si="107"/>
        <v xml:space="preserve"> </v>
      </c>
      <c r="AF184" s="176">
        <f t="shared" si="108"/>
        <v>0</v>
      </c>
      <c r="AG184" s="178" t="str">
        <f t="shared" si="109"/>
        <v/>
      </c>
      <c r="AH184" s="176">
        <f t="shared" si="110"/>
        <v>0</v>
      </c>
    </row>
    <row r="185" spans="2:34" ht="16.5" outlineLevel="1" x14ac:dyDescent="0.25">
      <c r="B185" s="175" t="s">
        <v>2723</v>
      </c>
      <c r="C185" s="176">
        <v>3.07</v>
      </c>
      <c r="D185" s="176">
        <v>7.1</v>
      </c>
      <c r="E185" s="194">
        <v>3</v>
      </c>
      <c r="F185" s="194">
        <v>2.1</v>
      </c>
      <c r="G185" s="194">
        <f t="shared" si="111"/>
        <v>0.89999999999999991</v>
      </c>
      <c r="H185" s="176"/>
      <c r="I185" s="178" t="str">
        <f t="shared" si="92"/>
        <v>X</v>
      </c>
      <c r="J185" s="176">
        <f t="shared" si="116"/>
        <v>21.299999999999997</v>
      </c>
      <c r="K185" s="178" t="str">
        <f t="shared" si="94"/>
        <v>X</v>
      </c>
      <c r="L185" s="176">
        <f t="shared" si="117"/>
        <v>14.91</v>
      </c>
      <c r="M185" s="178" t="str">
        <f t="shared" si="96"/>
        <v>X</v>
      </c>
      <c r="N185" s="177">
        <f t="shared" si="118"/>
        <v>6.389999999999997</v>
      </c>
      <c r="O185" s="178" t="str">
        <f t="shared" si="98"/>
        <v>X</v>
      </c>
      <c r="P185" s="176">
        <f t="shared" si="119"/>
        <v>14.91</v>
      </c>
      <c r="Q185" s="178" t="s">
        <v>0</v>
      </c>
      <c r="R185" s="176"/>
      <c r="S185" s="178" t="s">
        <v>2578</v>
      </c>
      <c r="T185" s="178" t="str">
        <f t="shared" si="100"/>
        <v>X</v>
      </c>
      <c r="U185" s="176">
        <f t="shared" si="112"/>
        <v>6.389999999999997</v>
      </c>
      <c r="V185" s="178" t="str">
        <f t="shared" si="101"/>
        <v xml:space="preserve"> </v>
      </c>
      <c r="W185" s="176">
        <f t="shared" si="113"/>
        <v>0</v>
      </c>
      <c r="X185" s="178" t="str">
        <f t="shared" si="102"/>
        <v xml:space="preserve"> </v>
      </c>
      <c r="Y185" s="176">
        <f t="shared" si="114"/>
        <v>0</v>
      </c>
      <c r="Z185" s="178" t="s">
        <v>2581</v>
      </c>
      <c r="AA185" s="178" t="str">
        <f t="shared" si="103"/>
        <v>X</v>
      </c>
      <c r="AB185" s="176">
        <f t="shared" si="104"/>
        <v>3.07</v>
      </c>
      <c r="AC185" s="178" t="str">
        <f t="shared" si="105"/>
        <v xml:space="preserve"> </v>
      </c>
      <c r="AD185" s="176">
        <f t="shared" si="106"/>
        <v>0</v>
      </c>
      <c r="AE185" s="178" t="str">
        <f t="shared" si="107"/>
        <v xml:space="preserve"> </v>
      </c>
      <c r="AF185" s="176">
        <f t="shared" si="108"/>
        <v>0</v>
      </c>
      <c r="AG185" s="178" t="str">
        <f t="shared" si="109"/>
        <v/>
      </c>
      <c r="AH185" s="176">
        <f t="shared" si="110"/>
        <v>0</v>
      </c>
    </row>
    <row r="186" spans="2:34" ht="16.5" outlineLevel="1" x14ac:dyDescent="0.25">
      <c r="B186" s="175" t="s">
        <v>2724</v>
      </c>
      <c r="C186" s="176">
        <v>3</v>
      </c>
      <c r="D186" s="176">
        <v>7.45</v>
      </c>
      <c r="E186" s="194">
        <v>3</v>
      </c>
      <c r="F186" s="194">
        <v>2.1</v>
      </c>
      <c r="G186" s="194">
        <f t="shared" si="111"/>
        <v>0.89999999999999991</v>
      </c>
      <c r="H186" s="176"/>
      <c r="I186" s="178" t="str">
        <f t="shared" si="92"/>
        <v>X</v>
      </c>
      <c r="J186" s="176">
        <f t="shared" si="116"/>
        <v>22.35</v>
      </c>
      <c r="K186" s="178" t="str">
        <f t="shared" si="94"/>
        <v>X</v>
      </c>
      <c r="L186" s="176">
        <f t="shared" si="117"/>
        <v>15.645000000000001</v>
      </c>
      <c r="M186" s="178" t="str">
        <f t="shared" si="96"/>
        <v>X</v>
      </c>
      <c r="N186" s="177">
        <f t="shared" si="118"/>
        <v>6.7050000000000001</v>
      </c>
      <c r="O186" s="178" t="str">
        <f t="shared" si="98"/>
        <v>X</v>
      </c>
      <c r="P186" s="176">
        <f t="shared" si="119"/>
        <v>15.645000000000001</v>
      </c>
      <c r="Q186" s="178" t="s">
        <v>0</v>
      </c>
      <c r="R186" s="176"/>
      <c r="S186" s="178" t="s">
        <v>2578</v>
      </c>
      <c r="T186" s="178" t="str">
        <f t="shared" si="100"/>
        <v>X</v>
      </c>
      <c r="U186" s="176">
        <f t="shared" si="112"/>
        <v>6.7050000000000001</v>
      </c>
      <c r="V186" s="178" t="str">
        <f t="shared" si="101"/>
        <v xml:space="preserve"> </v>
      </c>
      <c r="W186" s="176">
        <f t="shared" si="113"/>
        <v>0</v>
      </c>
      <c r="X186" s="178" t="str">
        <f t="shared" si="102"/>
        <v xml:space="preserve"> </v>
      </c>
      <c r="Y186" s="176">
        <f t="shared" si="114"/>
        <v>0</v>
      </c>
      <c r="Z186" s="178" t="s">
        <v>2581</v>
      </c>
      <c r="AA186" s="178" t="str">
        <f t="shared" si="103"/>
        <v>X</v>
      </c>
      <c r="AB186" s="176">
        <f t="shared" si="104"/>
        <v>3</v>
      </c>
      <c r="AC186" s="178" t="str">
        <f t="shared" si="105"/>
        <v xml:space="preserve"> </v>
      </c>
      <c r="AD186" s="176">
        <f t="shared" si="106"/>
        <v>0</v>
      </c>
      <c r="AE186" s="178" t="str">
        <f t="shared" si="107"/>
        <v xml:space="preserve"> </v>
      </c>
      <c r="AF186" s="176">
        <f t="shared" si="108"/>
        <v>0</v>
      </c>
      <c r="AG186" s="178" t="str">
        <f t="shared" si="109"/>
        <v/>
      </c>
      <c r="AH186" s="176">
        <f t="shared" si="110"/>
        <v>0</v>
      </c>
    </row>
    <row r="187" spans="2:34" ht="16.5" x14ac:dyDescent="0.25">
      <c r="B187" s="182"/>
      <c r="C187" s="185"/>
      <c r="D187" s="185"/>
      <c r="E187" s="185"/>
      <c r="F187" s="185"/>
      <c r="G187" s="185"/>
      <c r="H187" s="185"/>
      <c r="I187" s="184"/>
      <c r="J187" s="185"/>
      <c r="K187" s="184"/>
      <c r="L187" s="185"/>
      <c r="M187" s="184"/>
      <c r="N187" s="185"/>
      <c r="O187" s="201"/>
      <c r="P187" s="185"/>
      <c r="Q187" s="184"/>
      <c r="R187" s="189"/>
      <c r="S187" s="185"/>
      <c r="T187" s="184"/>
      <c r="U187" s="185"/>
      <c r="V187" s="184"/>
      <c r="W187" s="185"/>
      <c r="X187" s="184"/>
      <c r="Y187" s="189"/>
      <c r="Z187" s="185"/>
      <c r="AA187" s="184"/>
      <c r="AB187" s="185"/>
      <c r="AC187" s="184"/>
      <c r="AD187" s="185"/>
      <c r="AE187" s="184"/>
      <c r="AF187" s="189"/>
      <c r="AG187" s="184"/>
      <c r="AH187" s="189"/>
    </row>
    <row r="188" spans="2:34" ht="16.5" x14ac:dyDescent="0.25">
      <c r="B188" s="929" t="s">
        <v>2641</v>
      </c>
      <c r="C188" s="930"/>
      <c r="D188" s="930"/>
      <c r="E188" s="930"/>
      <c r="F188" s="930"/>
      <c r="G188" s="930"/>
      <c r="H188" s="931"/>
      <c r="I188" s="190" t="s">
        <v>2586</v>
      </c>
      <c r="J188" s="191">
        <f>SUBTOTAL(9,J189:J222)</f>
        <v>1737.6299999999999</v>
      </c>
      <c r="K188" s="192" t="s">
        <v>2586</v>
      </c>
      <c r="L188" s="191">
        <f>SUBTOTAL(9,L189:L222)</f>
        <v>292.59300000000002</v>
      </c>
      <c r="M188" s="190" t="s">
        <v>2586</v>
      </c>
      <c r="N188" s="200">
        <f>SUBTOTAL(9,N189:N222)</f>
        <v>1445.037</v>
      </c>
      <c r="O188" s="190" t="s">
        <v>2586</v>
      </c>
      <c r="P188" s="191">
        <f>SUBTOTAL(9,P189:P222)</f>
        <v>293.59300000000002</v>
      </c>
      <c r="Q188" s="190" t="s">
        <v>2586</v>
      </c>
      <c r="R188" s="191">
        <f>SUBTOTAL(9,R189:R222)</f>
        <v>11</v>
      </c>
      <c r="S188" s="191"/>
      <c r="T188" s="190" t="s">
        <v>2586</v>
      </c>
      <c r="U188" s="200">
        <f>SUBTOTAL(9,U189:U222)</f>
        <v>1382.9070000000002</v>
      </c>
      <c r="V188" s="190" t="s">
        <v>2586</v>
      </c>
      <c r="W188" s="191">
        <f>SUBTOTAL(9,W189:W222)</f>
        <v>0</v>
      </c>
      <c r="X188" s="190" t="s">
        <v>2586</v>
      </c>
      <c r="Y188" s="191">
        <f>SUBTOTAL(9,Y189:Y222)</f>
        <v>62.13</v>
      </c>
      <c r="Z188" s="191"/>
      <c r="AA188" s="190" t="s">
        <v>2586</v>
      </c>
      <c r="AB188" s="200">
        <f>SUBTOTAL(9,AB189:AB222)</f>
        <v>395.45000000000005</v>
      </c>
      <c r="AC188" s="190" t="s">
        <v>2586</v>
      </c>
      <c r="AD188" s="191">
        <f>SUBTOTAL(9,AD189:AD222)</f>
        <v>132.24</v>
      </c>
      <c r="AE188" s="190" t="s">
        <v>2586</v>
      </c>
      <c r="AF188" s="191">
        <f>SUBTOTAL(9,AF189:AF222)</f>
        <v>18.93</v>
      </c>
      <c r="AG188" s="190" t="s">
        <v>2586</v>
      </c>
      <c r="AH188" s="191">
        <f>SUBTOTAL(9,AH189:AH222)</f>
        <v>439.88000000000005</v>
      </c>
    </row>
    <row r="189" spans="2:34" ht="16.5" outlineLevel="1" x14ac:dyDescent="0.25">
      <c r="B189" s="175" t="s">
        <v>2670</v>
      </c>
      <c r="C189" s="176">
        <v>18.93</v>
      </c>
      <c r="D189" s="176">
        <v>20.71</v>
      </c>
      <c r="E189" s="194">
        <v>3</v>
      </c>
      <c r="F189" s="194">
        <v>0</v>
      </c>
      <c r="G189" s="194">
        <f>E189-F189</f>
        <v>3</v>
      </c>
      <c r="H189" s="176"/>
      <c r="I189" s="178" t="str">
        <f t="shared" ref="I189:I222" si="120">IF($E189&gt;0,"X"," ")</f>
        <v>X</v>
      </c>
      <c r="J189" s="176">
        <f t="shared" ref="J189:J220" si="121">IF(I189="X",($D189-H189)*E189,0)</f>
        <v>62.13</v>
      </c>
      <c r="K189" s="178" t="str">
        <f t="shared" ref="K189:K222" si="122">IF($F189&gt;0,"X"," ")</f>
        <v xml:space="preserve"> </v>
      </c>
      <c r="L189" s="176">
        <f t="shared" ref="L189:L199" si="123">IF(K189="X",($D189-H189)*F189,0)</f>
        <v>0</v>
      </c>
      <c r="M189" s="178" t="str">
        <f t="shared" ref="M189:M222" si="124">IF($E189&gt;0,"X"," ")</f>
        <v>X</v>
      </c>
      <c r="N189" s="177">
        <f t="shared" ref="N189:N220" si="125">IF(M189="X",J189-L189,0)</f>
        <v>62.13</v>
      </c>
      <c r="O189" s="178" t="str">
        <f t="shared" ref="O189:O222" si="126">IF($F189&gt;0,"X"," ")</f>
        <v xml:space="preserve"> </v>
      </c>
      <c r="P189" s="176">
        <f t="shared" ref="P189:P220" si="127">IF(L189&gt;0,L189,0)</f>
        <v>0</v>
      </c>
      <c r="Q189" s="178" t="s">
        <v>0</v>
      </c>
      <c r="R189" s="176"/>
      <c r="S189" s="178" t="s">
        <v>2580</v>
      </c>
      <c r="T189" s="178" t="str">
        <f t="shared" ref="T189:T222" si="128">IF($S189="ACRÍLICA","X"," ")</f>
        <v xml:space="preserve"> </v>
      </c>
      <c r="U189" s="176">
        <f>IF(T189="X",$N189,0)</f>
        <v>0</v>
      </c>
      <c r="V189" s="178" t="str">
        <f t="shared" ref="V189:V222" si="129">IF($S189="EPÓXI","X"," ")</f>
        <v xml:space="preserve"> </v>
      </c>
      <c r="W189" s="176">
        <f>IF(V189="X",$N189,0)</f>
        <v>0</v>
      </c>
      <c r="X189" s="178" t="str">
        <f t="shared" ref="X189:X222" si="130">IF($S189="TEXTURA","X"," ")</f>
        <v>X</v>
      </c>
      <c r="Y189" s="176">
        <f>IF(X189="X",$N189,0)</f>
        <v>62.13</v>
      </c>
      <c r="Z189" s="178" t="s">
        <v>2583</v>
      </c>
      <c r="AA189" s="178" t="str">
        <f t="shared" ref="AA189:AA222" si="131">IF($Z189="ACARTONADO","X"," ")</f>
        <v xml:space="preserve"> </v>
      </c>
      <c r="AB189" s="176">
        <f t="shared" ref="AB189:AB222" si="132">IF(AA189="X",$C189,0)</f>
        <v>0</v>
      </c>
      <c r="AC189" s="178" t="str">
        <f t="shared" ref="AC189:AC222" si="133">IF($Z189="MINERAL","X"," ")</f>
        <v xml:space="preserve"> </v>
      </c>
      <c r="AD189" s="176">
        <f t="shared" ref="AD189:AD222" si="134">IF(AC189="X",$C189,0)</f>
        <v>0</v>
      </c>
      <c r="AE189" s="178" t="str">
        <f t="shared" ref="AE189:AE222" si="135">IF($Z189="LAJE","X"," ")</f>
        <v>X</v>
      </c>
      <c r="AF189" s="176">
        <f t="shared" ref="AF189:AF222" si="136">IF(AE189="X",$C189,0)</f>
        <v>18.93</v>
      </c>
      <c r="AG189" s="178" t="str">
        <f t="shared" ref="AG189:AG222" si="137">IF(K189="X","","X")</f>
        <v>X</v>
      </c>
      <c r="AH189" s="176">
        <f t="shared" ref="AH189:AH222" si="138">IF(AG189="X",$D189-H189,0)</f>
        <v>20.71</v>
      </c>
    </row>
    <row r="190" spans="2:34" ht="16.5" outlineLevel="1" x14ac:dyDescent="0.25">
      <c r="B190" s="175" t="s">
        <v>2669</v>
      </c>
      <c r="C190" s="176">
        <v>6.74</v>
      </c>
      <c r="D190" s="176">
        <v>12.1</v>
      </c>
      <c r="E190" s="194">
        <v>3</v>
      </c>
      <c r="F190" s="194">
        <v>0</v>
      </c>
      <c r="G190" s="194">
        <f t="shared" ref="G190:G222" si="139">E190-F190</f>
        <v>3</v>
      </c>
      <c r="H190" s="176"/>
      <c r="I190" s="178" t="str">
        <f t="shared" si="120"/>
        <v>X</v>
      </c>
      <c r="J190" s="176">
        <f t="shared" si="121"/>
        <v>36.299999999999997</v>
      </c>
      <c r="K190" s="178" t="str">
        <f t="shared" si="122"/>
        <v xml:space="preserve"> </v>
      </c>
      <c r="L190" s="176">
        <f t="shared" si="123"/>
        <v>0</v>
      </c>
      <c r="M190" s="178" t="str">
        <f t="shared" si="124"/>
        <v>X</v>
      </c>
      <c r="N190" s="177">
        <f t="shared" si="125"/>
        <v>36.299999999999997</v>
      </c>
      <c r="O190" s="178" t="str">
        <f t="shared" si="126"/>
        <v xml:space="preserve"> </v>
      </c>
      <c r="P190" s="176">
        <f t="shared" si="127"/>
        <v>0</v>
      </c>
      <c r="Q190" s="178" t="s">
        <v>0</v>
      </c>
      <c r="R190" s="176"/>
      <c r="S190" s="178" t="s">
        <v>2578</v>
      </c>
      <c r="T190" s="178" t="str">
        <f t="shared" si="128"/>
        <v>X</v>
      </c>
      <c r="U190" s="176">
        <f t="shared" ref="U190:U222" si="140">IF(T190="X",$N190,0)</f>
        <v>36.299999999999997</v>
      </c>
      <c r="V190" s="178" t="str">
        <f t="shared" si="129"/>
        <v xml:space="preserve"> </v>
      </c>
      <c r="W190" s="176">
        <f t="shared" ref="W190:W222" si="141">IF(V190="X",$N190,0)</f>
        <v>0</v>
      </c>
      <c r="X190" s="178" t="str">
        <f t="shared" si="130"/>
        <v xml:space="preserve"> </v>
      </c>
      <c r="Y190" s="176">
        <f t="shared" ref="Y190:Y222" si="142">IF(X190="X",$N190,0)</f>
        <v>0</v>
      </c>
      <c r="Z190" s="178" t="s">
        <v>2581</v>
      </c>
      <c r="AA190" s="178" t="str">
        <f t="shared" si="131"/>
        <v>X</v>
      </c>
      <c r="AB190" s="176">
        <f t="shared" si="132"/>
        <v>6.74</v>
      </c>
      <c r="AC190" s="178" t="str">
        <f t="shared" si="133"/>
        <v xml:space="preserve"> </v>
      </c>
      <c r="AD190" s="176">
        <f t="shared" si="134"/>
        <v>0</v>
      </c>
      <c r="AE190" s="178" t="str">
        <f t="shared" si="135"/>
        <v xml:space="preserve"> </v>
      </c>
      <c r="AF190" s="176">
        <f t="shared" si="136"/>
        <v>0</v>
      </c>
      <c r="AG190" s="178" t="str">
        <f t="shared" si="137"/>
        <v>X</v>
      </c>
      <c r="AH190" s="176">
        <f t="shared" si="138"/>
        <v>12.1</v>
      </c>
    </row>
    <row r="191" spans="2:34" ht="16.5" outlineLevel="1" x14ac:dyDescent="0.25">
      <c r="B191" s="175" t="s">
        <v>2666</v>
      </c>
      <c r="C191" s="176">
        <v>4.5199999999999996</v>
      </c>
      <c r="D191" s="176">
        <v>8.75</v>
      </c>
      <c r="E191" s="194">
        <v>3</v>
      </c>
      <c r="F191" s="194">
        <v>2.1</v>
      </c>
      <c r="G191" s="194">
        <f t="shared" si="139"/>
        <v>0.89999999999999991</v>
      </c>
      <c r="H191" s="176"/>
      <c r="I191" s="178" t="str">
        <f t="shared" si="120"/>
        <v>X</v>
      </c>
      <c r="J191" s="176">
        <f t="shared" si="121"/>
        <v>26.25</v>
      </c>
      <c r="K191" s="178" t="str">
        <f t="shared" si="122"/>
        <v>X</v>
      </c>
      <c r="L191" s="176">
        <f t="shared" si="123"/>
        <v>18.375</v>
      </c>
      <c r="M191" s="178" t="str">
        <f t="shared" si="124"/>
        <v>X</v>
      </c>
      <c r="N191" s="177">
        <f t="shared" si="125"/>
        <v>7.875</v>
      </c>
      <c r="O191" s="178" t="str">
        <f t="shared" si="126"/>
        <v>X</v>
      </c>
      <c r="P191" s="176">
        <f t="shared" si="127"/>
        <v>18.375</v>
      </c>
      <c r="Q191" s="178" t="s">
        <v>0</v>
      </c>
      <c r="R191" s="176"/>
      <c r="S191" s="178" t="s">
        <v>2578</v>
      </c>
      <c r="T191" s="178" t="str">
        <f t="shared" si="128"/>
        <v>X</v>
      </c>
      <c r="U191" s="176">
        <f t="shared" si="140"/>
        <v>7.875</v>
      </c>
      <c r="V191" s="178" t="str">
        <f t="shared" si="129"/>
        <v xml:space="preserve"> </v>
      </c>
      <c r="W191" s="176">
        <f t="shared" si="141"/>
        <v>0</v>
      </c>
      <c r="X191" s="178" t="str">
        <f t="shared" si="130"/>
        <v xml:space="preserve"> </v>
      </c>
      <c r="Y191" s="176">
        <f t="shared" si="142"/>
        <v>0</v>
      </c>
      <c r="Z191" s="178" t="s">
        <v>2581</v>
      </c>
      <c r="AA191" s="178" t="str">
        <f t="shared" si="131"/>
        <v>X</v>
      </c>
      <c r="AB191" s="176">
        <f t="shared" si="132"/>
        <v>4.5199999999999996</v>
      </c>
      <c r="AC191" s="178" t="str">
        <f t="shared" si="133"/>
        <v xml:space="preserve"> </v>
      </c>
      <c r="AD191" s="176">
        <f t="shared" si="134"/>
        <v>0</v>
      </c>
      <c r="AE191" s="178" t="str">
        <f t="shared" si="135"/>
        <v xml:space="preserve"> </v>
      </c>
      <c r="AF191" s="176">
        <f t="shared" si="136"/>
        <v>0</v>
      </c>
      <c r="AG191" s="178" t="str">
        <f t="shared" si="137"/>
        <v/>
      </c>
      <c r="AH191" s="176">
        <f t="shared" si="138"/>
        <v>0</v>
      </c>
    </row>
    <row r="192" spans="2:34" ht="16.5" outlineLevel="1" x14ac:dyDescent="0.25">
      <c r="B192" s="175" t="s">
        <v>2591</v>
      </c>
      <c r="C192" s="176">
        <v>3.14</v>
      </c>
      <c r="D192" s="176">
        <v>7.1</v>
      </c>
      <c r="E192" s="194">
        <v>3</v>
      </c>
      <c r="F192" s="194">
        <v>2.1</v>
      </c>
      <c r="G192" s="194">
        <f t="shared" si="139"/>
        <v>0.89999999999999991</v>
      </c>
      <c r="H192" s="176"/>
      <c r="I192" s="178" t="str">
        <f t="shared" si="120"/>
        <v>X</v>
      </c>
      <c r="J192" s="176">
        <f t="shared" si="121"/>
        <v>21.299999999999997</v>
      </c>
      <c r="K192" s="178" t="str">
        <f t="shared" si="122"/>
        <v>X</v>
      </c>
      <c r="L192" s="176">
        <f t="shared" si="123"/>
        <v>14.91</v>
      </c>
      <c r="M192" s="178" t="str">
        <f t="shared" si="124"/>
        <v>X</v>
      </c>
      <c r="N192" s="177">
        <f t="shared" si="125"/>
        <v>6.389999999999997</v>
      </c>
      <c r="O192" s="178" t="str">
        <f t="shared" si="126"/>
        <v>X</v>
      </c>
      <c r="P192" s="176">
        <f t="shared" si="127"/>
        <v>14.91</v>
      </c>
      <c r="Q192" s="178" t="s">
        <v>0</v>
      </c>
      <c r="R192" s="176"/>
      <c r="S192" s="178" t="s">
        <v>2578</v>
      </c>
      <c r="T192" s="178" t="str">
        <f t="shared" si="128"/>
        <v>X</v>
      </c>
      <c r="U192" s="176">
        <f t="shared" si="140"/>
        <v>6.389999999999997</v>
      </c>
      <c r="V192" s="178" t="str">
        <f t="shared" si="129"/>
        <v xml:space="preserve"> </v>
      </c>
      <c r="W192" s="176">
        <f t="shared" si="141"/>
        <v>0</v>
      </c>
      <c r="X192" s="178" t="str">
        <f t="shared" si="130"/>
        <v xml:space="preserve"> </v>
      </c>
      <c r="Y192" s="176">
        <f t="shared" si="142"/>
        <v>0</v>
      </c>
      <c r="Z192" s="178" t="s">
        <v>2581</v>
      </c>
      <c r="AA192" s="178" t="str">
        <f t="shared" si="131"/>
        <v>X</v>
      </c>
      <c r="AB192" s="176">
        <f t="shared" si="132"/>
        <v>3.14</v>
      </c>
      <c r="AC192" s="178" t="str">
        <f t="shared" si="133"/>
        <v xml:space="preserve"> </v>
      </c>
      <c r="AD192" s="176">
        <f t="shared" si="134"/>
        <v>0</v>
      </c>
      <c r="AE192" s="178" t="str">
        <f t="shared" si="135"/>
        <v xml:space="preserve"> </v>
      </c>
      <c r="AF192" s="176">
        <f t="shared" si="136"/>
        <v>0</v>
      </c>
      <c r="AG192" s="178" t="str">
        <f t="shared" si="137"/>
        <v/>
      </c>
      <c r="AH192" s="176">
        <f t="shared" si="138"/>
        <v>0</v>
      </c>
    </row>
    <row r="193" spans="2:34" ht="16.5" outlineLevel="1" x14ac:dyDescent="0.25">
      <c r="B193" s="175" t="s">
        <v>2664</v>
      </c>
      <c r="C193" s="176">
        <v>12.82</v>
      </c>
      <c r="D193" s="176">
        <v>14.79</v>
      </c>
      <c r="E193" s="194">
        <v>3</v>
      </c>
      <c r="F193" s="194">
        <v>0</v>
      </c>
      <c r="G193" s="194">
        <f t="shared" si="139"/>
        <v>3</v>
      </c>
      <c r="H193" s="176">
        <v>1.42</v>
      </c>
      <c r="I193" s="178" t="str">
        <f t="shared" si="120"/>
        <v>X</v>
      </c>
      <c r="J193" s="176">
        <f t="shared" si="121"/>
        <v>40.11</v>
      </c>
      <c r="K193" s="178" t="str">
        <f t="shared" si="122"/>
        <v xml:space="preserve"> </v>
      </c>
      <c r="L193" s="176">
        <f t="shared" si="123"/>
        <v>0</v>
      </c>
      <c r="M193" s="178" t="str">
        <f t="shared" si="124"/>
        <v>X</v>
      </c>
      <c r="N193" s="177">
        <f t="shared" si="125"/>
        <v>40.11</v>
      </c>
      <c r="O193" s="178" t="str">
        <f t="shared" si="126"/>
        <v xml:space="preserve"> </v>
      </c>
      <c r="P193" s="176">
        <f t="shared" si="127"/>
        <v>0</v>
      </c>
      <c r="Q193" s="178" t="s">
        <v>0</v>
      </c>
      <c r="R193" s="176"/>
      <c r="S193" s="178" t="s">
        <v>2578</v>
      </c>
      <c r="T193" s="178" t="str">
        <f t="shared" si="128"/>
        <v>X</v>
      </c>
      <c r="U193" s="176">
        <f t="shared" si="140"/>
        <v>40.11</v>
      </c>
      <c r="V193" s="178" t="str">
        <f t="shared" si="129"/>
        <v xml:space="preserve"> </v>
      </c>
      <c r="W193" s="176">
        <f t="shared" si="141"/>
        <v>0</v>
      </c>
      <c r="X193" s="178" t="str">
        <f t="shared" si="130"/>
        <v xml:space="preserve"> </v>
      </c>
      <c r="Y193" s="176">
        <f t="shared" si="142"/>
        <v>0</v>
      </c>
      <c r="Z193" s="178" t="s">
        <v>2582</v>
      </c>
      <c r="AA193" s="178" t="str">
        <f t="shared" si="131"/>
        <v xml:space="preserve"> </v>
      </c>
      <c r="AB193" s="176">
        <f t="shared" si="132"/>
        <v>0</v>
      </c>
      <c r="AC193" s="178" t="str">
        <f t="shared" si="133"/>
        <v>X</v>
      </c>
      <c r="AD193" s="176">
        <f t="shared" si="134"/>
        <v>12.82</v>
      </c>
      <c r="AE193" s="178" t="str">
        <f t="shared" si="135"/>
        <v xml:space="preserve"> </v>
      </c>
      <c r="AF193" s="176">
        <f t="shared" si="136"/>
        <v>0</v>
      </c>
      <c r="AG193" s="178" t="str">
        <f t="shared" si="137"/>
        <v>X</v>
      </c>
      <c r="AH193" s="176">
        <f t="shared" si="138"/>
        <v>13.37</v>
      </c>
    </row>
    <row r="194" spans="2:34" ht="16.5" outlineLevel="1" x14ac:dyDescent="0.25">
      <c r="B194" s="175" t="s">
        <v>2663</v>
      </c>
      <c r="C194" s="176">
        <v>6.97</v>
      </c>
      <c r="D194" s="176">
        <v>10.68</v>
      </c>
      <c r="E194" s="194">
        <v>3</v>
      </c>
      <c r="F194" s="194">
        <v>0</v>
      </c>
      <c r="G194" s="194">
        <f t="shared" si="139"/>
        <v>3</v>
      </c>
      <c r="H194" s="176"/>
      <c r="I194" s="178" t="str">
        <f t="shared" si="120"/>
        <v>X</v>
      </c>
      <c r="J194" s="176">
        <f t="shared" si="121"/>
        <v>32.04</v>
      </c>
      <c r="K194" s="178" t="str">
        <f t="shared" si="122"/>
        <v xml:space="preserve"> </v>
      </c>
      <c r="L194" s="176">
        <f t="shared" si="123"/>
        <v>0</v>
      </c>
      <c r="M194" s="178" t="str">
        <f t="shared" si="124"/>
        <v>X</v>
      </c>
      <c r="N194" s="177">
        <f t="shared" si="125"/>
        <v>32.04</v>
      </c>
      <c r="O194" s="178" t="str">
        <f t="shared" si="126"/>
        <v xml:space="preserve"> </v>
      </c>
      <c r="P194" s="176">
        <f t="shared" si="127"/>
        <v>0</v>
      </c>
      <c r="Q194" s="178" t="s">
        <v>0</v>
      </c>
      <c r="R194" s="176"/>
      <c r="S194" s="178" t="s">
        <v>2578</v>
      </c>
      <c r="T194" s="178" t="str">
        <f t="shared" si="128"/>
        <v>X</v>
      </c>
      <c r="U194" s="176">
        <f t="shared" si="140"/>
        <v>32.04</v>
      </c>
      <c r="V194" s="178" t="str">
        <f t="shared" si="129"/>
        <v xml:space="preserve"> </v>
      </c>
      <c r="W194" s="176">
        <f t="shared" si="141"/>
        <v>0</v>
      </c>
      <c r="X194" s="178" t="str">
        <f t="shared" si="130"/>
        <v xml:space="preserve"> </v>
      </c>
      <c r="Y194" s="176">
        <f t="shared" si="142"/>
        <v>0</v>
      </c>
      <c r="Z194" s="178" t="s">
        <v>2581</v>
      </c>
      <c r="AA194" s="178" t="str">
        <f t="shared" si="131"/>
        <v>X</v>
      </c>
      <c r="AB194" s="176">
        <f t="shared" si="132"/>
        <v>6.97</v>
      </c>
      <c r="AC194" s="178" t="str">
        <f t="shared" si="133"/>
        <v xml:space="preserve"> </v>
      </c>
      <c r="AD194" s="176">
        <f t="shared" si="134"/>
        <v>0</v>
      </c>
      <c r="AE194" s="178" t="str">
        <f t="shared" si="135"/>
        <v xml:space="preserve"> </v>
      </c>
      <c r="AF194" s="176">
        <f t="shared" si="136"/>
        <v>0</v>
      </c>
      <c r="AG194" s="178" t="str">
        <f t="shared" si="137"/>
        <v>X</v>
      </c>
      <c r="AH194" s="176">
        <f t="shared" si="138"/>
        <v>10.68</v>
      </c>
    </row>
    <row r="195" spans="2:34" ht="16.5" outlineLevel="1" x14ac:dyDescent="0.25">
      <c r="B195" s="175" t="s">
        <v>2662</v>
      </c>
      <c r="C195" s="176">
        <v>6.42</v>
      </c>
      <c r="D195" s="176">
        <v>10.28</v>
      </c>
      <c r="E195" s="194">
        <v>3</v>
      </c>
      <c r="F195" s="194">
        <v>0</v>
      </c>
      <c r="G195" s="194">
        <f t="shared" si="139"/>
        <v>3</v>
      </c>
      <c r="H195" s="176"/>
      <c r="I195" s="178" t="str">
        <f t="shared" si="120"/>
        <v>X</v>
      </c>
      <c r="J195" s="176">
        <f t="shared" si="121"/>
        <v>30.839999999999996</v>
      </c>
      <c r="K195" s="178" t="str">
        <f t="shared" si="122"/>
        <v xml:space="preserve"> </v>
      </c>
      <c r="L195" s="176">
        <f t="shared" si="123"/>
        <v>0</v>
      </c>
      <c r="M195" s="178" t="str">
        <f t="shared" si="124"/>
        <v>X</v>
      </c>
      <c r="N195" s="177">
        <f t="shared" si="125"/>
        <v>30.839999999999996</v>
      </c>
      <c r="O195" s="178" t="str">
        <f t="shared" si="126"/>
        <v xml:space="preserve"> </v>
      </c>
      <c r="P195" s="176">
        <f t="shared" si="127"/>
        <v>0</v>
      </c>
      <c r="Q195" s="178" t="s">
        <v>0</v>
      </c>
      <c r="R195" s="176"/>
      <c r="S195" s="178" t="s">
        <v>2578</v>
      </c>
      <c r="T195" s="178" t="str">
        <f t="shared" si="128"/>
        <v>X</v>
      </c>
      <c r="U195" s="176">
        <f t="shared" si="140"/>
        <v>30.839999999999996</v>
      </c>
      <c r="V195" s="178" t="str">
        <f t="shared" si="129"/>
        <v xml:space="preserve"> </v>
      </c>
      <c r="W195" s="176">
        <f t="shared" si="141"/>
        <v>0</v>
      </c>
      <c r="X195" s="178" t="str">
        <f t="shared" si="130"/>
        <v xml:space="preserve"> </v>
      </c>
      <c r="Y195" s="176">
        <f t="shared" si="142"/>
        <v>0</v>
      </c>
      <c r="Z195" s="178" t="s">
        <v>2581</v>
      </c>
      <c r="AA195" s="178" t="str">
        <f t="shared" si="131"/>
        <v>X</v>
      </c>
      <c r="AB195" s="176">
        <f t="shared" si="132"/>
        <v>6.42</v>
      </c>
      <c r="AC195" s="178" t="str">
        <f t="shared" si="133"/>
        <v xml:space="preserve"> </v>
      </c>
      <c r="AD195" s="176">
        <f t="shared" si="134"/>
        <v>0</v>
      </c>
      <c r="AE195" s="178" t="str">
        <f t="shared" si="135"/>
        <v xml:space="preserve"> </v>
      </c>
      <c r="AF195" s="176">
        <f t="shared" si="136"/>
        <v>0</v>
      </c>
      <c r="AG195" s="178" t="str">
        <f t="shared" si="137"/>
        <v>X</v>
      </c>
      <c r="AH195" s="176">
        <f t="shared" si="138"/>
        <v>10.28</v>
      </c>
    </row>
    <row r="196" spans="2:34" ht="16.5" outlineLevel="1" x14ac:dyDescent="0.25">
      <c r="B196" s="175" t="s">
        <v>2725</v>
      </c>
      <c r="C196" s="176">
        <v>12.84</v>
      </c>
      <c r="D196" s="176">
        <v>17.39</v>
      </c>
      <c r="E196" s="194">
        <v>3</v>
      </c>
      <c r="F196" s="194">
        <v>0</v>
      </c>
      <c r="G196" s="194">
        <f t="shared" si="139"/>
        <v>3</v>
      </c>
      <c r="H196" s="176"/>
      <c r="I196" s="178" t="str">
        <f t="shared" si="120"/>
        <v>X</v>
      </c>
      <c r="J196" s="176">
        <f t="shared" si="121"/>
        <v>52.17</v>
      </c>
      <c r="K196" s="178" t="str">
        <f t="shared" si="122"/>
        <v xml:space="preserve"> </v>
      </c>
      <c r="L196" s="176">
        <f t="shared" si="123"/>
        <v>0</v>
      </c>
      <c r="M196" s="178" t="str">
        <f t="shared" si="124"/>
        <v>X</v>
      </c>
      <c r="N196" s="177">
        <f t="shared" si="125"/>
        <v>52.17</v>
      </c>
      <c r="O196" s="178" t="str">
        <f t="shared" si="126"/>
        <v xml:space="preserve"> </v>
      </c>
      <c r="P196" s="176">
        <v>1</v>
      </c>
      <c r="Q196" s="178" t="s">
        <v>0</v>
      </c>
      <c r="R196" s="176"/>
      <c r="S196" s="178" t="s">
        <v>2578</v>
      </c>
      <c r="T196" s="178" t="str">
        <f t="shared" si="128"/>
        <v>X</v>
      </c>
      <c r="U196" s="176">
        <f t="shared" si="140"/>
        <v>52.17</v>
      </c>
      <c r="V196" s="178" t="str">
        <f t="shared" si="129"/>
        <v xml:space="preserve"> </v>
      </c>
      <c r="W196" s="176">
        <f t="shared" si="141"/>
        <v>0</v>
      </c>
      <c r="X196" s="178" t="str">
        <f t="shared" si="130"/>
        <v xml:space="preserve"> </v>
      </c>
      <c r="Y196" s="176">
        <f t="shared" si="142"/>
        <v>0</v>
      </c>
      <c r="Z196" s="178" t="s">
        <v>2581</v>
      </c>
      <c r="AA196" s="178" t="str">
        <f t="shared" si="131"/>
        <v>X</v>
      </c>
      <c r="AB196" s="176">
        <f t="shared" si="132"/>
        <v>12.84</v>
      </c>
      <c r="AC196" s="178" t="str">
        <f t="shared" si="133"/>
        <v xml:space="preserve"> </v>
      </c>
      <c r="AD196" s="176">
        <f t="shared" si="134"/>
        <v>0</v>
      </c>
      <c r="AE196" s="178" t="str">
        <f t="shared" si="135"/>
        <v xml:space="preserve"> </v>
      </c>
      <c r="AF196" s="176">
        <f t="shared" si="136"/>
        <v>0</v>
      </c>
      <c r="AG196" s="178" t="str">
        <f t="shared" si="137"/>
        <v>X</v>
      </c>
      <c r="AH196" s="176">
        <f t="shared" si="138"/>
        <v>17.39</v>
      </c>
    </row>
    <row r="197" spans="2:34" ht="16.5" outlineLevel="1" x14ac:dyDescent="0.25">
      <c r="B197" s="175" t="s">
        <v>2661</v>
      </c>
      <c r="C197" s="176">
        <v>2.1</v>
      </c>
      <c r="D197" s="176">
        <v>6.35</v>
      </c>
      <c r="E197" s="194">
        <v>3</v>
      </c>
      <c r="F197" s="194">
        <v>2.1</v>
      </c>
      <c r="G197" s="194">
        <f t="shared" si="139"/>
        <v>0.89999999999999991</v>
      </c>
      <c r="H197" s="176"/>
      <c r="I197" s="178" t="str">
        <f t="shared" si="120"/>
        <v>X</v>
      </c>
      <c r="J197" s="176">
        <f t="shared" si="121"/>
        <v>19.049999999999997</v>
      </c>
      <c r="K197" s="178" t="str">
        <f t="shared" si="122"/>
        <v>X</v>
      </c>
      <c r="L197" s="176">
        <f t="shared" si="123"/>
        <v>13.334999999999999</v>
      </c>
      <c r="M197" s="178" t="str">
        <f t="shared" si="124"/>
        <v>X</v>
      </c>
      <c r="N197" s="177">
        <f t="shared" si="125"/>
        <v>5.7149999999999981</v>
      </c>
      <c r="O197" s="178" t="str">
        <f t="shared" si="126"/>
        <v>X</v>
      </c>
      <c r="P197" s="176">
        <f t="shared" si="127"/>
        <v>13.334999999999999</v>
      </c>
      <c r="Q197" s="178" t="s">
        <v>0</v>
      </c>
      <c r="R197" s="176"/>
      <c r="S197" s="178" t="s">
        <v>2578</v>
      </c>
      <c r="T197" s="178" t="str">
        <f t="shared" si="128"/>
        <v>X</v>
      </c>
      <c r="U197" s="176">
        <f t="shared" si="140"/>
        <v>5.7149999999999981</v>
      </c>
      <c r="V197" s="178" t="str">
        <f t="shared" si="129"/>
        <v xml:space="preserve"> </v>
      </c>
      <c r="W197" s="176">
        <f t="shared" si="141"/>
        <v>0</v>
      </c>
      <c r="X197" s="178" t="str">
        <f t="shared" si="130"/>
        <v xml:space="preserve"> </v>
      </c>
      <c r="Y197" s="176">
        <f t="shared" si="142"/>
        <v>0</v>
      </c>
      <c r="Z197" s="178" t="s">
        <v>2581</v>
      </c>
      <c r="AA197" s="178" t="str">
        <f t="shared" si="131"/>
        <v>X</v>
      </c>
      <c r="AB197" s="176">
        <f t="shared" si="132"/>
        <v>2.1</v>
      </c>
      <c r="AC197" s="178" t="str">
        <f t="shared" si="133"/>
        <v xml:space="preserve"> </v>
      </c>
      <c r="AD197" s="176">
        <f t="shared" si="134"/>
        <v>0</v>
      </c>
      <c r="AE197" s="178" t="str">
        <f t="shared" si="135"/>
        <v xml:space="preserve"> </v>
      </c>
      <c r="AF197" s="176">
        <f t="shared" si="136"/>
        <v>0</v>
      </c>
      <c r="AG197" s="178" t="str">
        <f t="shared" si="137"/>
        <v/>
      </c>
      <c r="AH197" s="176">
        <f t="shared" si="138"/>
        <v>0</v>
      </c>
    </row>
    <row r="198" spans="2:34" ht="16.5" outlineLevel="1" x14ac:dyDescent="0.25">
      <c r="B198" s="175" t="s">
        <v>2660</v>
      </c>
      <c r="C198" s="176">
        <v>2.5099999999999998</v>
      </c>
      <c r="D198" s="176">
        <v>6.35</v>
      </c>
      <c r="E198" s="194">
        <v>3</v>
      </c>
      <c r="F198" s="194">
        <v>2.1</v>
      </c>
      <c r="G198" s="194">
        <f t="shared" si="139"/>
        <v>0.89999999999999991</v>
      </c>
      <c r="H198" s="176"/>
      <c r="I198" s="178" t="str">
        <f t="shared" si="120"/>
        <v>X</v>
      </c>
      <c r="J198" s="176">
        <f t="shared" si="121"/>
        <v>19.049999999999997</v>
      </c>
      <c r="K198" s="178" t="str">
        <f t="shared" si="122"/>
        <v>X</v>
      </c>
      <c r="L198" s="176">
        <f t="shared" si="123"/>
        <v>13.334999999999999</v>
      </c>
      <c r="M198" s="178" t="str">
        <f t="shared" si="124"/>
        <v>X</v>
      </c>
      <c r="N198" s="177">
        <f t="shared" si="125"/>
        <v>5.7149999999999981</v>
      </c>
      <c r="O198" s="178" t="str">
        <f t="shared" si="126"/>
        <v>X</v>
      </c>
      <c r="P198" s="176">
        <f t="shared" si="127"/>
        <v>13.334999999999999</v>
      </c>
      <c r="Q198" s="178" t="s">
        <v>0</v>
      </c>
      <c r="R198" s="176"/>
      <c r="S198" s="178" t="s">
        <v>2578</v>
      </c>
      <c r="T198" s="178" t="str">
        <f t="shared" si="128"/>
        <v>X</v>
      </c>
      <c r="U198" s="176">
        <f t="shared" si="140"/>
        <v>5.7149999999999981</v>
      </c>
      <c r="V198" s="178" t="str">
        <f t="shared" si="129"/>
        <v xml:space="preserve"> </v>
      </c>
      <c r="W198" s="176">
        <f t="shared" si="141"/>
        <v>0</v>
      </c>
      <c r="X198" s="178" t="str">
        <f t="shared" si="130"/>
        <v xml:space="preserve"> </v>
      </c>
      <c r="Y198" s="176">
        <f t="shared" si="142"/>
        <v>0</v>
      </c>
      <c r="Z198" s="178" t="s">
        <v>2581</v>
      </c>
      <c r="AA198" s="178" t="str">
        <f t="shared" si="131"/>
        <v>X</v>
      </c>
      <c r="AB198" s="176">
        <f t="shared" si="132"/>
        <v>2.5099999999999998</v>
      </c>
      <c r="AC198" s="178" t="str">
        <f t="shared" si="133"/>
        <v xml:space="preserve"> </v>
      </c>
      <c r="AD198" s="176">
        <f t="shared" si="134"/>
        <v>0</v>
      </c>
      <c r="AE198" s="178" t="str">
        <f t="shared" si="135"/>
        <v xml:space="preserve"> </v>
      </c>
      <c r="AF198" s="176">
        <f t="shared" si="136"/>
        <v>0</v>
      </c>
      <c r="AG198" s="178" t="str">
        <f t="shared" si="137"/>
        <v/>
      </c>
      <c r="AH198" s="176">
        <f t="shared" si="138"/>
        <v>0</v>
      </c>
    </row>
    <row r="199" spans="2:34" ht="16.5" outlineLevel="1" x14ac:dyDescent="0.25">
      <c r="B199" s="175" t="s">
        <v>2642</v>
      </c>
      <c r="C199" s="176">
        <v>25.29</v>
      </c>
      <c r="D199" s="176">
        <v>21.07</v>
      </c>
      <c r="E199" s="194">
        <v>3</v>
      </c>
      <c r="F199" s="194">
        <v>0</v>
      </c>
      <c r="G199" s="194">
        <f t="shared" si="139"/>
        <v>3</v>
      </c>
      <c r="H199" s="176"/>
      <c r="I199" s="178" t="str">
        <f t="shared" si="120"/>
        <v>X</v>
      </c>
      <c r="J199" s="176">
        <f t="shared" si="121"/>
        <v>63.21</v>
      </c>
      <c r="K199" s="178" t="str">
        <f t="shared" si="122"/>
        <v xml:space="preserve"> </v>
      </c>
      <c r="L199" s="176">
        <f t="shared" si="123"/>
        <v>0</v>
      </c>
      <c r="M199" s="178" t="str">
        <f t="shared" si="124"/>
        <v>X</v>
      </c>
      <c r="N199" s="177">
        <f t="shared" si="125"/>
        <v>63.21</v>
      </c>
      <c r="O199" s="178" t="str">
        <f t="shared" si="126"/>
        <v xml:space="preserve"> </v>
      </c>
      <c r="P199" s="176">
        <f t="shared" si="127"/>
        <v>0</v>
      </c>
      <c r="Q199" s="178" t="s">
        <v>0</v>
      </c>
      <c r="R199" s="176">
        <v>1</v>
      </c>
      <c r="S199" s="178" t="s">
        <v>2578</v>
      </c>
      <c r="T199" s="178" t="str">
        <f t="shared" si="128"/>
        <v>X</v>
      </c>
      <c r="U199" s="176">
        <f t="shared" si="140"/>
        <v>63.21</v>
      </c>
      <c r="V199" s="178" t="str">
        <f t="shared" si="129"/>
        <v xml:space="preserve"> </v>
      </c>
      <c r="W199" s="176">
        <f t="shared" si="141"/>
        <v>0</v>
      </c>
      <c r="X199" s="178" t="str">
        <f t="shared" si="130"/>
        <v xml:space="preserve"> </v>
      </c>
      <c r="Y199" s="176">
        <f t="shared" si="142"/>
        <v>0</v>
      </c>
      <c r="Z199" s="178" t="s">
        <v>2581</v>
      </c>
      <c r="AA199" s="178" t="str">
        <f t="shared" si="131"/>
        <v>X</v>
      </c>
      <c r="AB199" s="176">
        <f t="shared" si="132"/>
        <v>25.29</v>
      </c>
      <c r="AC199" s="178" t="str">
        <f t="shared" si="133"/>
        <v xml:space="preserve"> </v>
      </c>
      <c r="AD199" s="176">
        <f t="shared" si="134"/>
        <v>0</v>
      </c>
      <c r="AE199" s="178" t="str">
        <f t="shared" si="135"/>
        <v xml:space="preserve"> </v>
      </c>
      <c r="AF199" s="176">
        <f t="shared" si="136"/>
        <v>0</v>
      </c>
      <c r="AG199" s="178" t="str">
        <f t="shared" si="137"/>
        <v>X</v>
      </c>
      <c r="AH199" s="176">
        <f t="shared" si="138"/>
        <v>21.07</v>
      </c>
    </row>
    <row r="200" spans="2:34" ht="16.5" outlineLevel="1" x14ac:dyDescent="0.25">
      <c r="B200" s="175" t="s">
        <v>2643</v>
      </c>
      <c r="C200" s="176">
        <v>5.17</v>
      </c>
      <c r="D200" s="176">
        <v>10</v>
      </c>
      <c r="E200" s="194">
        <v>3</v>
      </c>
      <c r="F200" s="194">
        <v>2.1</v>
      </c>
      <c r="G200" s="194">
        <f t="shared" si="139"/>
        <v>0.89999999999999991</v>
      </c>
      <c r="H200" s="176"/>
      <c r="I200" s="178" t="str">
        <f t="shared" si="120"/>
        <v>X</v>
      </c>
      <c r="J200" s="176">
        <f t="shared" si="121"/>
        <v>30</v>
      </c>
      <c r="K200" s="178" t="str">
        <f t="shared" si="122"/>
        <v>X</v>
      </c>
      <c r="L200" s="176">
        <f t="shared" ref="L200:L220" si="143">IF(K200="X",($D200-H200)*F200,0)</f>
        <v>21</v>
      </c>
      <c r="M200" s="178" t="str">
        <f t="shared" si="124"/>
        <v>X</v>
      </c>
      <c r="N200" s="177">
        <f t="shared" si="125"/>
        <v>9</v>
      </c>
      <c r="O200" s="178" t="str">
        <f t="shared" si="126"/>
        <v>X</v>
      </c>
      <c r="P200" s="176">
        <f t="shared" si="127"/>
        <v>21</v>
      </c>
      <c r="Q200" s="178" t="s">
        <v>0</v>
      </c>
      <c r="R200" s="176"/>
      <c r="S200" s="178" t="s">
        <v>2578</v>
      </c>
      <c r="T200" s="178" t="str">
        <f t="shared" si="128"/>
        <v>X</v>
      </c>
      <c r="U200" s="176">
        <f t="shared" si="140"/>
        <v>9</v>
      </c>
      <c r="V200" s="178" t="str">
        <f t="shared" si="129"/>
        <v xml:space="preserve"> </v>
      </c>
      <c r="W200" s="176">
        <f t="shared" si="141"/>
        <v>0</v>
      </c>
      <c r="X200" s="178" t="str">
        <f t="shared" si="130"/>
        <v xml:space="preserve"> </v>
      </c>
      <c r="Y200" s="176">
        <f t="shared" si="142"/>
        <v>0</v>
      </c>
      <c r="Z200" s="178" t="s">
        <v>2581</v>
      </c>
      <c r="AA200" s="178" t="str">
        <f t="shared" si="131"/>
        <v>X</v>
      </c>
      <c r="AB200" s="176">
        <f t="shared" si="132"/>
        <v>5.17</v>
      </c>
      <c r="AC200" s="178" t="str">
        <f t="shared" si="133"/>
        <v xml:space="preserve"> </v>
      </c>
      <c r="AD200" s="176">
        <f t="shared" si="134"/>
        <v>0</v>
      </c>
      <c r="AE200" s="178" t="str">
        <f t="shared" si="135"/>
        <v xml:space="preserve"> </v>
      </c>
      <c r="AF200" s="176">
        <f t="shared" si="136"/>
        <v>0</v>
      </c>
      <c r="AG200" s="178" t="str">
        <f t="shared" si="137"/>
        <v/>
      </c>
      <c r="AH200" s="176">
        <f t="shared" si="138"/>
        <v>0</v>
      </c>
    </row>
    <row r="201" spans="2:34" ht="16.5" outlineLevel="1" x14ac:dyDescent="0.25">
      <c r="B201" s="175" t="s">
        <v>2644</v>
      </c>
      <c r="C201" s="176">
        <v>25.41</v>
      </c>
      <c r="D201" s="176">
        <v>21.12</v>
      </c>
      <c r="E201" s="194">
        <v>3</v>
      </c>
      <c r="F201" s="194">
        <v>0</v>
      </c>
      <c r="G201" s="194">
        <f t="shared" si="139"/>
        <v>3</v>
      </c>
      <c r="H201" s="176"/>
      <c r="I201" s="178" t="str">
        <f t="shared" si="120"/>
        <v>X</v>
      </c>
      <c r="J201" s="176">
        <f t="shared" si="121"/>
        <v>63.36</v>
      </c>
      <c r="K201" s="178" t="str">
        <f t="shared" si="122"/>
        <v xml:space="preserve"> </v>
      </c>
      <c r="L201" s="176">
        <f t="shared" si="143"/>
        <v>0</v>
      </c>
      <c r="M201" s="178" t="str">
        <f t="shared" si="124"/>
        <v>X</v>
      </c>
      <c r="N201" s="177">
        <f t="shared" si="125"/>
        <v>63.36</v>
      </c>
      <c r="O201" s="178" t="str">
        <f t="shared" si="126"/>
        <v xml:space="preserve"> </v>
      </c>
      <c r="P201" s="176">
        <f t="shared" si="127"/>
        <v>0</v>
      </c>
      <c r="Q201" s="178" t="s">
        <v>0</v>
      </c>
      <c r="R201" s="176">
        <v>1</v>
      </c>
      <c r="S201" s="178" t="s">
        <v>2578</v>
      </c>
      <c r="T201" s="178" t="str">
        <f t="shared" si="128"/>
        <v>X</v>
      </c>
      <c r="U201" s="176">
        <f t="shared" si="140"/>
        <v>63.36</v>
      </c>
      <c r="V201" s="178" t="str">
        <f t="shared" si="129"/>
        <v xml:space="preserve"> </v>
      </c>
      <c r="W201" s="176">
        <f t="shared" si="141"/>
        <v>0</v>
      </c>
      <c r="X201" s="178" t="str">
        <f t="shared" si="130"/>
        <v xml:space="preserve"> </v>
      </c>
      <c r="Y201" s="176">
        <f t="shared" si="142"/>
        <v>0</v>
      </c>
      <c r="Z201" s="178" t="s">
        <v>2581</v>
      </c>
      <c r="AA201" s="178" t="str">
        <f t="shared" si="131"/>
        <v>X</v>
      </c>
      <c r="AB201" s="176">
        <f t="shared" si="132"/>
        <v>25.41</v>
      </c>
      <c r="AC201" s="178" t="str">
        <f t="shared" si="133"/>
        <v xml:space="preserve"> </v>
      </c>
      <c r="AD201" s="176">
        <f t="shared" si="134"/>
        <v>0</v>
      </c>
      <c r="AE201" s="178" t="str">
        <f t="shared" si="135"/>
        <v xml:space="preserve"> </v>
      </c>
      <c r="AF201" s="176">
        <f t="shared" si="136"/>
        <v>0</v>
      </c>
      <c r="AG201" s="178" t="str">
        <f t="shared" si="137"/>
        <v>X</v>
      </c>
      <c r="AH201" s="176">
        <f t="shared" si="138"/>
        <v>21.12</v>
      </c>
    </row>
    <row r="202" spans="2:34" ht="16.5" outlineLevel="1" x14ac:dyDescent="0.25">
      <c r="B202" s="175" t="s">
        <v>2645</v>
      </c>
      <c r="C202" s="176">
        <v>5.17</v>
      </c>
      <c r="D202" s="176">
        <v>10</v>
      </c>
      <c r="E202" s="194">
        <v>3</v>
      </c>
      <c r="F202" s="194">
        <v>2.1</v>
      </c>
      <c r="G202" s="194">
        <f t="shared" si="139"/>
        <v>0.89999999999999991</v>
      </c>
      <c r="H202" s="176"/>
      <c r="I202" s="178" t="str">
        <f t="shared" si="120"/>
        <v>X</v>
      </c>
      <c r="J202" s="176">
        <f t="shared" si="121"/>
        <v>30</v>
      </c>
      <c r="K202" s="178" t="str">
        <f t="shared" si="122"/>
        <v>X</v>
      </c>
      <c r="L202" s="176">
        <f t="shared" si="143"/>
        <v>21</v>
      </c>
      <c r="M202" s="178" t="str">
        <f t="shared" si="124"/>
        <v>X</v>
      </c>
      <c r="N202" s="177">
        <f t="shared" si="125"/>
        <v>9</v>
      </c>
      <c r="O202" s="178" t="str">
        <f t="shared" si="126"/>
        <v>X</v>
      </c>
      <c r="P202" s="176">
        <f t="shared" si="127"/>
        <v>21</v>
      </c>
      <c r="Q202" s="178" t="s">
        <v>0</v>
      </c>
      <c r="R202" s="176"/>
      <c r="S202" s="178" t="s">
        <v>2578</v>
      </c>
      <c r="T202" s="178" t="str">
        <f t="shared" si="128"/>
        <v>X</v>
      </c>
      <c r="U202" s="176">
        <f t="shared" si="140"/>
        <v>9</v>
      </c>
      <c r="V202" s="178" t="str">
        <f t="shared" si="129"/>
        <v xml:space="preserve"> </v>
      </c>
      <c r="W202" s="176">
        <f t="shared" si="141"/>
        <v>0</v>
      </c>
      <c r="X202" s="178" t="str">
        <f t="shared" si="130"/>
        <v xml:space="preserve"> </v>
      </c>
      <c r="Y202" s="176">
        <f t="shared" si="142"/>
        <v>0</v>
      </c>
      <c r="Z202" s="178" t="s">
        <v>2581</v>
      </c>
      <c r="AA202" s="178" t="str">
        <f t="shared" si="131"/>
        <v>X</v>
      </c>
      <c r="AB202" s="176">
        <f t="shared" si="132"/>
        <v>5.17</v>
      </c>
      <c r="AC202" s="178" t="str">
        <f t="shared" si="133"/>
        <v xml:space="preserve"> </v>
      </c>
      <c r="AD202" s="176">
        <f t="shared" si="134"/>
        <v>0</v>
      </c>
      <c r="AE202" s="178" t="str">
        <f t="shared" si="135"/>
        <v xml:space="preserve"> </v>
      </c>
      <c r="AF202" s="176">
        <f t="shared" si="136"/>
        <v>0</v>
      </c>
      <c r="AG202" s="178" t="str">
        <f t="shared" si="137"/>
        <v/>
      </c>
      <c r="AH202" s="176">
        <f t="shared" si="138"/>
        <v>0</v>
      </c>
    </row>
    <row r="203" spans="2:34" ht="16.5" outlineLevel="1" x14ac:dyDescent="0.25">
      <c r="B203" s="175" t="s">
        <v>2646</v>
      </c>
      <c r="C203" s="176">
        <v>25.41</v>
      </c>
      <c r="D203" s="176">
        <v>21.12</v>
      </c>
      <c r="E203" s="194">
        <v>3</v>
      </c>
      <c r="F203" s="194">
        <v>0</v>
      </c>
      <c r="G203" s="194">
        <f t="shared" si="139"/>
        <v>3</v>
      </c>
      <c r="H203" s="176"/>
      <c r="I203" s="178" t="str">
        <f t="shared" si="120"/>
        <v>X</v>
      </c>
      <c r="J203" s="176">
        <f t="shared" si="121"/>
        <v>63.36</v>
      </c>
      <c r="K203" s="178" t="str">
        <f t="shared" si="122"/>
        <v xml:space="preserve"> </v>
      </c>
      <c r="L203" s="176">
        <f t="shared" si="143"/>
        <v>0</v>
      </c>
      <c r="M203" s="178" t="str">
        <f t="shared" si="124"/>
        <v>X</v>
      </c>
      <c r="N203" s="177">
        <f t="shared" si="125"/>
        <v>63.36</v>
      </c>
      <c r="O203" s="178" t="str">
        <f t="shared" si="126"/>
        <v xml:space="preserve"> </v>
      </c>
      <c r="P203" s="176">
        <f t="shared" si="127"/>
        <v>0</v>
      </c>
      <c r="Q203" s="178" t="s">
        <v>0</v>
      </c>
      <c r="R203" s="176">
        <v>1</v>
      </c>
      <c r="S203" s="178" t="s">
        <v>2578</v>
      </c>
      <c r="T203" s="178" t="str">
        <f t="shared" si="128"/>
        <v>X</v>
      </c>
      <c r="U203" s="176">
        <f t="shared" si="140"/>
        <v>63.36</v>
      </c>
      <c r="V203" s="178" t="str">
        <f t="shared" si="129"/>
        <v xml:space="preserve"> </v>
      </c>
      <c r="W203" s="176">
        <f t="shared" si="141"/>
        <v>0</v>
      </c>
      <c r="X203" s="178" t="str">
        <f t="shared" si="130"/>
        <v xml:space="preserve"> </v>
      </c>
      <c r="Y203" s="176">
        <f t="shared" si="142"/>
        <v>0</v>
      </c>
      <c r="Z203" s="178" t="s">
        <v>2581</v>
      </c>
      <c r="AA203" s="178" t="str">
        <f t="shared" si="131"/>
        <v>X</v>
      </c>
      <c r="AB203" s="176">
        <f t="shared" si="132"/>
        <v>25.41</v>
      </c>
      <c r="AC203" s="178" t="str">
        <f t="shared" si="133"/>
        <v xml:space="preserve"> </v>
      </c>
      <c r="AD203" s="176">
        <f t="shared" si="134"/>
        <v>0</v>
      </c>
      <c r="AE203" s="178" t="str">
        <f t="shared" si="135"/>
        <v xml:space="preserve"> </v>
      </c>
      <c r="AF203" s="176">
        <f t="shared" si="136"/>
        <v>0</v>
      </c>
      <c r="AG203" s="178" t="str">
        <f t="shared" si="137"/>
        <v>X</v>
      </c>
      <c r="AH203" s="176">
        <f t="shared" si="138"/>
        <v>21.12</v>
      </c>
    </row>
    <row r="204" spans="2:34" ht="16.5" outlineLevel="1" x14ac:dyDescent="0.25">
      <c r="B204" s="175" t="s">
        <v>2647</v>
      </c>
      <c r="C204" s="176">
        <v>5.19</v>
      </c>
      <c r="D204" s="176">
        <v>10</v>
      </c>
      <c r="E204" s="194">
        <v>3</v>
      </c>
      <c r="F204" s="194">
        <v>2.1</v>
      </c>
      <c r="G204" s="194">
        <f t="shared" si="139"/>
        <v>0.89999999999999991</v>
      </c>
      <c r="H204" s="176"/>
      <c r="I204" s="178" t="str">
        <f t="shared" si="120"/>
        <v>X</v>
      </c>
      <c r="J204" s="176">
        <f t="shared" si="121"/>
        <v>30</v>
      </c>
      <c r="K204" s="178" t="str">
        <f t="shared" si="122"/>
        <v>X</v>
      </c>
      <c r="L204" s="176">
        <f t="shared" si="143"/>
        <v>21</v>
      </c>
      <c r="M204" s="178" t="str">
        <f t="shared" si="124"/>
        <v>X</v>
      </c>
      <c r="N204" s="177">
        <f t="shared" si="125"/>
        <v>9</v>
      </c>
      <c r="O204" s="178" t="str">
        <f t="shared" si="126"/>
        <v>X</v>
      </c>
      <c r="P204" s="176">
        <f t="shared" si="127"/>
        <v>21</v>
      </c>
      <c r="Q204" s="178" t="s">
        <v>0</v>
      </c>
      <c r="R204" s="176"/>
      <c r="S204" s="178" t="s">
        <v>2578</v>
      </c>
      <c r="T204" s="178" t="str">
        <f t="shared" si="128"/>
        <v>X</v>
      </c>
      <c r="U204" s="176">
        <f t="shared" si="140"/>
        <v>9</v>
      </c>
      <c r="V204" s="178" t="str">
        <f t="shared" si="129"/>
        <v xml:space="preserve"> </v>
      </c>
      <c r="W204" s="176">
        <f t="shared" si="141"/>
        <v>0</v>
      </c>
      <c r="X204" s="178" t="str">
        <f t="shared" si="130"/>
        <v xml:space="preserve"> </v>
      </c>
      <c r="Y204" s="176">
        <f t="shared" si="142"/>
        <v>0</v>
      </c>
      <c r="Z204" s="178" t="s">
        <v>2581</v>
      </c>
      <c r="AA204" s="178" t="str">
        <f t="shared" si="131"/>
        <v>X</v>
      </c>
      <c r="AB204" s="176">
        <f t="shared" si="132"/>
        <v>5.19</v>
      </c>
      <c r="AC204" s="178" t="str">
        <f t="shared" si="133"/>
        <v xml:space="preserve"> </v>
      </c>
      <c r="AD204" s="176">
        <f t="shared" si="134"/>
        <v>0</v>
      </c>
      <c r="AE204" s="178" t="str">
        <f t="shared" si="135"/>
        <v xml:space="preserve"> </v>
      </c>
      <c r="AF204" s="176">
        <f t="shared" si="136"/>
        <v>0</v>
      </c>
      <c r="AG204" s="178" t="str">
        <f t="shared" si="137"/>
        <v/>
      </c>
      <c r="AH204" s="176">
        <f t="shared" si="138"/>
        <v>0</v>
      </c>
    </row>
    <row r="205" spans="2:34" ht="16.5" outlineLevel="1" x14ac:dyDescent="0.25">
      <c r="B205" s="175" t="s">
        <v>2648</v>
      </c>
      <c r="C205" s="176">
        <v>25.24</v>
      </c>
      <c r="D205" s="176">
        <v>21.05</v>
      </c>
      <c r="E205" s="194">
        <v>3</v>
      </c>
      <c r="F205" s="194">
        <v>0</v>
      </c>
      <c r="G205" s="194">
        <f t="shared" si="139"/>
        <v>3</v>
      </c>
      <c r="H205" s="176"/>
      <c r="I205" s="178" t="str">
        <f t="shared" si="120"/>
        <v>X</v>
      </c>
      <c r="J205" s="176">
        <f t="shared" si="121"/>
        <v>63.150000000000006</v>
      </c>
      <c r="K205" s="178" t="str">
        <f t="shared" si="122"/>
        <v xml:space="preserve"> </v>
      </c>
      <c r="L205" s="176">
        <f t="shared" si="143"/>
        <v>0</v>
      </c>
      <c r="M205" s="178" t="str">
        <f t="shared" si="124"/>
        <v>X</v>
      </c>
      <c r="N205" s="177">
        <f t="shared" si="125"/>
        <v>63.150000000000006</v>
      </c>
      <c r="O205" s="178" t="str">
        <f t="shared" si="126"/>
        <v xml:space="preserve"> </v>
      </c>
      <c r="P205" s="176">
        <f t="shared" si="127"/>
        <v>0</v>
      </c>
      <c r="Q205" s="178" t="s">
        <v>0</v>
      </c>
      <c r="R205" s="176">
        <v>1</v>
      </c>
      <c r="S205" s="178" t="s">
        <v>2578</v>
      </c>
      <c r="T205" s="178" t="str">
        <f t="shared" si="128"/>
        <v>X</v>
      </c>
      <c r="U205" s="176">
        <f t="shared" si="140"/>
        <v>63.150000000000006</v>
      </c>
      <c r="V205" s="178" t="str">
        <f t="shared" si="129"/>
        <v xml:space="preserve"> </v>
      </c>
      <c r="W205" s="176">
        <f t="shared" si="141"/>
        <v>0</v>
      </c>
      <c r="X205" s="178" t="str">
        <f t="shared" si="130"/>
        <v xml:space="preserve"> </v>
      </c>
      <c r="Y205" s="176">
        <f t="shared" si="142"/>
        <v>0</v>
      </c>
      <c r="Z205" s="178" t="s">
        <v>2581</v>
      </c>
      <c r="AA205" s="178" t="str">
        <f t="shared" si="131"/>
        <v>X</v>
      </c>
      <c r="AB205" s="176">
        <f t="shared" si="132"/>
        <v>25.24</v>
      </c>
      <c r="AC205" s="178" t="str">
        <f t="shared" si="133"/>
        <v xml:space="preserve"> </v>
      </c>
      <c r="AD205" s="176">
        <f t="shared" si="134"/>
        <v>0</v>
      </c>
      <c r="AE205" s="178" t="str">
        <f t="shared" si="135"/>
        <v xml:space="preserve"> </v>
      </c>
      <c r="AF205" s="176">
        <f t="shared" si="136"/>
        <v>0</v>
      </c>
      <c r="AG205" s="178" t="str">
        <f t="shared" si="137"/>
        <v>X</v>
      </c>
      <c r="AH205" s="176">
        <f t="shared" si="138"/>
        <v>21.05</v>
      </c>
    </row>
    <row r="206" spans="2:34" ht="16.5" outlineLevel="1" x14ac:dyDescent="0.25">
      <c r="B206" s="175" t="s">
        <v>2649</v>
      </c>
      <c r="C206" s="176">
        <v>5.19</v>
      </c>
      <c r="D206" s="176">
        <v>10</v>
      </c>
      <c r="E206" s="194">
        <v>3</v>
      </c>
      <c r="F206" s="194">
        <v>2.1</v>
      </c>
      <c r="G206" s="194">
        <f t="shared" si="139"/>
        <v>0.89999999999999991</v>
      </c>
      <c r="H206" s="176"/>
      <c r="I206" s="178" t="str">
        <f t="shared" si="120"/>
        <v>X</v>
      </c>
      <c r="J206" s="176">
        <f t="shared" si="121"/>
        <v>30</v>
      </c>
      <c r="K206" s="178" t="str">
        <f t="shared" si="122"/>
        <v>X</v>
      </c>
      <c r="L206" s="176">
        <f t="shared" si="143"/>
        <v>21</v>
      </c>
      <c r="M206" s="178" t="str">
        <f t="shared" si="124"/>
        <v>X</v>
      </c>
      <c r="N206" s="177">
        <f t="shared" si="125"/>
        <v>9</v>
      </c>
      <c r="O206" s="178" t="str">
        <f t="shared" si="126"/>
        <v>X</v>
      </c>
      <c r="P206" s="176">
        <f t="shared" si="127"/>
        <v>21</v>
      </c>
      <c r="Q206" s="178" t="s">
        <v>0</v>
      </c>
      <c r="R206" s="176"/>
      <c r="S206" s="178" t="s">
        <v>2578</v>
      </c>
      <c r="T206" s="178" t="str">
        <f t="shared" si="128"/>
        <v>X</v>
      </c>
      <c r="U206" s="176">
        <f t="shared" si="140"/>
        <v>9</v>
      </c>
      <c r="V206" s="178" t="str">
        <f t="shared" si="129"/>
        <v xml:space="preserve"> </v>
      </c>
      <c r="W206" s="176">
        <f t="shared" si="141"/>
        <v>0</v>
      </c>
      <c r="X206" s="178" t="str">
        <f t="shared" si="130"/>
        <v xml:space="preserve"> </v>
      </c>
      <c r="Y206" s="176">
        <f t="shared" si="142"/>
        <v>0</v>
      </c>
      <c r="Z206" s="178" t="s">
        <v>2581</v>
      </c>
      <c r="AA206" s="178" t="str">
        <f t="shared" si="131"/>
        <v>X</v>
      </c>
      <c r="AB206" s="176">
        <f t="shared" si="132"/>
        <v>5.19</v>
      </c>
      <c r="AC206" s="178" t="str">
        <f t="shared" si="133"/>
        <v xml:space="preserve"> </v>
      </c>
      <c r="AD206" s="176">
        <f t="shared" si="134"/>
        <v>0</v>
      </c>
      <c r="AE206" s="178" t="str">
        <f t="shared" si="135"/>
        <v xml:space="preserve"> </v>
      </c>
      <c r="AF206" s="176">
        <f t="shared" si="136"/>
        <v>0</v>
      </c>
      <c r="AG206" s="178" t="str">
        <f t="shared" si="137"/>
        <v/>
      </c>
      <c r="AH206" s="176">
        <f t="shared" si="138"/>
        <v>0</v>
      </c>
    </row>
    <row r="207" spans="2:34" ht="16.5" outlineLevel="1" x14ac:dyDescent="0.25">
      <c r="B207" s="175" t="s">
        <v>2651</v>
      </c>
      <c r="C207" s="176">
        <v>27.54</v>
      </c>
      <c r="D207" s="176">
        <v>21.83</v>
      </c>
      <c r="E207" s="194">
        <v>3</v>
      </c>
      <c r="F207" s="194">
        <v>0</v>
      </c>
      <c r="G207" s="194">
        <f t="shared" si="139"/>
        <v>3</v>
      </c>
      <c r="H207" s="176"/>
      <c r="I207" s="178" t="str">
        <f t="shared" si="120"/>
        <v>X</v>
      </c>
      <c r="J207" s="176">
        <f t="shared" si="121"/>
        <v>65.489999999999995</v>
      </c>
      <c r="K207" s="178" t="str">
        <f t="shared" si="122"/>
        <v xml:space="preserve"> </v>
      </c>
      <c r="L207" s="176">
        <f t="shared" si="143"/>
        <v>0</v>
      </c>
      <c r="M207" s="178" t="str">
        <f t="shared" si="124"/>
        <v>X</v>
      </c>
      <c r="N207" s="177">
        <f t="shared" si="125"/>
        <v>65.489999999999995</v>
      </c>
      <c r="O207" s="178" t="str">
        <f t="shared" si="126"/>
        <v xml:space="preserve"> </v>
      </c>
      <c r="P207" s="176">
        <f t="shared" si="127"/>
        <v>0</v>
      </c>
      <c r="Q207" s="178" t="s">
        <v>0</v>
      </c>
      <c r="R207" s="176">
        <v>1</v>
      </c>
      <c r="S207" s="178" t="s">
        <v>2578</v>
      </c>
      <c r="T207" s="178" t="str">
        <f t="shared" si="128"/>
        <v>X</v>
      </c>
      <c r="U207" s="176">
        <f t="shared" si="140"/>
        <v>65.489999999999995</v>
      </c>
      <c r="V207" s="178" t="str">
        <f t="shared" si="129"/>
        <v xml:space="preserve"> </v>
      </c>
      <c r="W207" s="176">
        <f t="shared" si="141"/>
        <v>0</v>
      </c>
      <c r="X207" s="178" t="str">
        <f t="shared" si="130"/>
        <v xml:space="preserve"> </v>
      </c>
      <c r="Y207" s="176">
        <f t="shared" si="142"/>
        <v>0</v>
      </c>
      <c r="Z207" s="178" t="s">
        <v>2581</v>
      </c>
      <c r="AA207" s="178" t="str">
        <f t="shared" si="131"/>
        <v>X</v>
      </c>
      <c r="AB207" s="176">
        <f t="shared" si="132"/>
        <v>27.54</v>
      </c>
      <c r="AC207" s="178" t="str">
        <f t="shared" si="133"/>
        <v xml:space="preserve"> </v>
      </c>
      <c r="AD207" s="176">
        <f t="shared" si="134"/>
        <v>0</v>
      </c>
      <c r="AE207" s="178" t="str">
        <f t="shared" si="135"/>
        <v xml:space="preserve"> </v>
      </c>
      <c r="AF207" s="176">
        <f t="shared" si="136"/>
        <v>0</v>
      </c>
      <c r="AG207" s="178" t="str">
        <f t="shared" si="137"/>
        <v>X</v>
      </c>
      <c r="AH207" s="176">
        <f t="shared" si="138"/>
        <v>21.83</v>
      </c>
    </row>
    <row r="208" spans="2:34" ht="16.5" outlineLevel="1" x14ac:dyDescent="0.25">
      <c r="B208" s="175" t="s">
        <v>2652</v>
      </c>
      <c r="C208" s="176">
        <v>5.23</v>
      </c>
      <c r="D208" s="176">
        <v>10.06</v>
      </c>
      <c r="E208" s="194">
        <v>3</v>
      </c>
      <c r="F208" s="194">
        <v>2.1</v>
      </c>
      <c r="G208" s="194">
        <f t="shared" si="139"/>
        <v>0.89999999999999991</v>
      </c>
      <c r="H208" s="176"/>
      <c r="I208" s="178" t="str">
        <f t="shared" si="120"/>
        <v>X</v>
      </c>
      <c r="J208" s="176">
        <f t="shared" si="121"/>
        <v>30.18</v>
      </c>
      <c r="K208" s="178" t="str">
        <f t="shared" si="122"/>
        <v>X</v>
      </c>
      <c r="L208" s="176">
        <f t="shared" si="143"/>
        <v>21.126000000000001</v>
      </c>
      <c r="M208" s="178" t="str">
        <f t="shared" si="124"/>
        <v>X</v>
      </c>
      <c r="N208" s="177">
        <f t="shared" si="125"/>
        <v>9.0539999999999985</v>
      </c>
      <c r="O208" s="178" t="str">
        <f t="shared" si="126"/>
        <v>X</v>
      </c>
      <c r="P208" s="176">
        <f t="shared" si="127"/>
        <v>21.126000000000001</v>
      </c>
      <c r="Q208" s="178" t="s">
        <v>0</v>
      </c>
      <c r="R208" s="176"/>
      <c r="S208" s="178" t="s">
        <v>2578</v>
      </c>
      <c r="T208" s="178" t="str">
        <f t="shared" si="128"/>
        <v>X</v>
      </c>
      <c r="U208" s="176">
        <f t="shared" si="140"/>
        <v>9.0539999999999985</v>
      </c>
      <c r="V208" s="178" t="str">
        <f t="shared" si="129"/>
        <v xml:space="preserve"> </v>
      </c>
      <c r="W208" s="176">
        <f t="shared" si="141"/>
        <v>0</v>
      </c>
      <c r="X208" s="178" t="str">
        <f t="shared" si="130"/>
        <v xml:space="preserve"> </v>
      </c>
      <c r="Y208" s="176">
        <f t="shared" si="142"/>
        <v>0</v>
      </c>
      <c r="Z208" s="178" t="s">
        <v>2581</v>
      </c>
      <c r="AA208" s="178" t="str">
        <f t="shared" si="131"/>
        <v>X</v>
      </c>
      <c r="AB208" s="176">
        <f t="shared" si="132"/>
        <v>5.23</v>
      </c>
      <c r="AC208" s="178" t="str">
        <f t="shared" si="133"/>
        <v xml:space="preserve"> </v>
      </c>
      <c r="AD208" s="176">
        <f t="shared" si="134"/>
        <v>0</v>
      </c>
      <c r="AE208" s="178" t="str">
        <f t="shared" si="135"/>
        <v xml:space="preserve"> </v>
      </c>
      <c r="AF208" s="176">
        <f t="shared" si="136"/>
        <v>0</v>
      </c>
      <c r="AG208" s="178" t="str">
        <f t="shared" si="137"/>
        <v/>
      </c>
      <c r="AH208" s="176">
        <f t="shared" si="138"/>
        <v>0</v>
      </c>
    </row>
    <row r="209" spans="2:34" ht="16.5" outlineLevel="1" x14ac:dyDescent="0.25">
      <c r="B209" s="175" t="s">
        <v>2598</v>
      </c>
      <c r="C209" s="176">
        <v>2.83</v>
      </c>
      <c r="D209" s="176">
        <v>7.16</v>
      </c>
      <c r="E209" s="194">
        <v>3</v>
      </c>
      <c r="F209" s="194">
        <v>0</v>
      </c>
      <c r="G209" s="194">
        <f t="shared" si="139"/>
        <v>3</v>
      </c>
      <c r="H209" s="176"/>
      <c r="I209" s="178" t="str">
        <f t="shared" si="120"/>
        <v>X</v>
      </c>
      <c r="J209" s="176">
        <f t="shared" si="121"/>
        <v>21.48</v>
      </c>
      <c r="K209" s="178" t="str">
        <f t="shared" si="122"/>
        <v xml:space="preserve"> </v>
      </c>
      <c r="L209" s="176">
        <f t="shared" si="143"/>
        <v>0</v>
      </c>
      <c r="M209" s="178" t="str">
        <f t="shared" si="124"/>
        <v>X</v>
      </c>
      <c r="N209" s="177">
        <f t="shared" si="125"/>
        <v>21.48</v>
      </c>
      <c r="O209" s="178" t="str">
        <f t="shared" si="126"/>
        <v xml:space="preserve"> </v>
      </c>
      <c r="P209" s="176">
        <f t="shared" si="127"/>
        <v>0</v>
      </c>
      <c r="Q209" s="178" t="s">
        <v>0</v>
      </c>
      <c r="R209" s="176"/>
      <c r="S209" s="178" t="s">
        <v>2578</v>
      </c>
      <c r="T209" s="178" t="str">
        <f t="shared" si="128"/>
        <v>X</v>
      </c>
      <c r="U209" s="176">
        <f t="shared" si="140"/>
        <v>21.48</v>
      </c>
      <c r="V209" s="178" t="str">
        <f t="shared" si="129"/>
        <v xml:space="preserve"> </v>
      </c>
      <c r="W209" s="176">
        <f t="shared" si="141"/>
        <v>0</v>
      </c>
      <c r="X209" s="178" t="str">
        <f t="shared" si="130"/>
        <v xml:space="preserve"> </v>
      </c>
      <c r="Y209" s="176">
        <f t="shared" si="142"/>
        <v>0</v>
      </c>
      <c r="Z209" s="178" t="s">
        <v>2581</v>
      </c>
      <c r="AA209" s="178" t="str">
        <f t="shared" si="131"/>
        <v>X</v>
      </c>
      <c r="AB209" s="176">
        <f t="shared" si="132"/>
        <v>2.83</v>
      </c>
      <c r="AC209" s="178" t="str">
        <f t="shared" si="133"/>
        <v xml:space="preserve"> </v>
      </c>
      <c r="AD209" s="176">
        <f t="shared" si="134"/>
        <v>0</v>
      </c>
      <c r="AE209" s="178" t="str">
        <f t="shared" si="135"/>
        <v xml:space="preserve"> </v>
      </c>
      <c r="AF209" s="176">
        <f t="shared" si="136"/>
        <v>0</v>
      </c>
      <c r="AG209" s="178" t="str">
        <f t="shared" si="137"/>
        <v>X</v>
      </c>
      <c r="AH209" s="176">
        <f t="shared" si="138"/>
        <v>7.16</v>
      </c>
    </row>
    <row r="210" spans="2:34" ht="16.5" outlineLevel="1" x14ac:dyDescent="0.25">
      <c r="B210" s="175" t="s">
        <v>2677</v>
      </c>
      <c r="C210" s="176">
        <v>23.7</v>
      </c>
      <c r="D210" s="176">
        <v>20.28</v>
      </c>
      <c r="E210" s="194">
        <v>3</v>
      </c>
      <c r="F210" s="194">
        <v>0</v>
      </c>
      <c r="G210" s="194">
        <f t="shared" si="139"/>
        <v>3</v>
      </c>
      <c r="H210" s="176"/>
      <c r="I210" s="178" t="str">
        <f t="shared" si="120"/>
        <v>X</v>
      </c>
      <c r="J210" s="176">
        <f t="shared" si="121"/>
        <v>60.84</v>
      </c>
      <c r="K210" s="178" t="str">
        <f t="shared" si="122"/>
        <v xml:space="preserve"> </v>
      </c>
      <c r="L210" s="176">
        <f t="shared" si="143"/>
        <v>0</v>
      </c>
      <c r="M210" s="178" t="str">
        <f t="shared" si="124"/>
        <v>X</v>
      </c>
      <c r="N210" s="177">
        <f t="shared" si="125"/>
        <v>60.84</v>
      </c>
      <c r="O210" s="178" t="str">
        <f t="shared" si="126"/>
        <v xml:space="preserve"> </v>
      </c>
      <c r="P210" s="176">
        <f t="shared" si="127"/>
        <v>0</v>
      </c>
      <c r="Q210" s="178" t="s">
        <v>0</v>
      </c>
      <c r="R210" s="176">
        <v>1</v>
      </c>
      <c r="S210" s="178" t="s">
        <v>2578</v>
      </c>
      <c r="T210" s="178" t="str">
        <f t="shared" si="128"/>
        <v>X</v>
      </c>
      <c r="U210" s="176">
        <f t="shared" si="140"/>
        <v>60.84</v>
      </c>
      <c r="V210" s="178" t="str">
        <f t="shared" si="129"/>
        <v xml:space="preserve"> </v>
      </c>
      <c r="W210" s="176">
        <f t="shared" si="141"/>
        <v>0</v>
      </c>
      <c r="X210" s="178" t="str">
        <f t="shared" si="130"/>
        <v xml:space="preserve"> </v>
      </c>
      <c r="Y210" s="176">
        <f t="shared" si="142"/>
        <v>0</v>
      </c>
      <c r="Z210" s="178" t="s">
        <v>2581</v>
      </c>
      <c r="AA210" s="178" t="str">
        <f t="shared" si="131"/>
        <v>X</v>
      </c>
      <c r="AB210" s="176">
        <f t="shared" si="132"/>
        <v>23.7</v>
      </c>
      <c r="AC210" s="178" t="str">
        <f t="shared" si="133"/>
        <v xml:space="preserve"> </v>
      </c>
      <c r="AD210" s="176">
        <f t="shared" si="134"/>
        <v>0</v>
      </c>
      <c r="AE210" s="178" t="str">
        <f t="shared" si="135"/>
        <v xml:space="preserve"> </v>
      </c>
      <c r="AF210" s="176">
        <f t="shared" si="136"/>
        <v>0</v>
      </c>
      <c r="AG210" s="178" t="str">
        <f t="shared" si="137"/>
        <v>X</v>
      </c>
      <c r="AH210" s="176">
        <f t="shared" si="138"/>
        <v>20.28</v>
      </c>
    </row>
    <row r="211" spans="2:34" ht="16.5" outlineLevel="1" x14ac:dyDescent="0.25">
      <c r="B211" s="175" t="s">
        <v>2726</v>
      </c>
      <c r="C211" s="176">
        <v>5.78</v>
      </c>
      <c r="D211" s="176">
        <v>10.67</v>
      </c>
      <c r="E211" s="194">
        <v>3</v>
      </c>
      <c r="F211" s="194">
        <v>2.1</v>
      </c>
      <c r="G211" s="194">
        <f t="shared" si="139"/>
        <v>0.89999999999999991</v>
      </c>
      <c r="H211" s="176"/>
      <c r="I211" s="178" t="str">
        <f t="shared" si="120"/>
        <v>X</v>
      </c>
      <c r="J211" s="176">
        <f t="shared" si="121"/>
        <v>32.01</v>
      </c>
      <c r="K211" s="178" t="str">
        <f t="shared" si="122"/>
        <v>X</v>
      </c>
      <c r="L211" s="176">
        <f t="shared" si="143"/>
        <v>22.407</v>
      </c>
      <c r="M211" s="178" t="str">
        <f t="shared" si="124"/>
        <v>X</v>
      </c>
      <c r="N211" s="177">
        <f t="shared" si="125"/>
        <v>9.602999999999998</v>
      </c>
      <c r="O211" s="178" t="str">
        <f t="shared" si="126"/>
        <v>X</v>
      </c>
      <c r="P211" s="176">
        <f t="shared" si="127"/>
        <v>22.407</v>
      </c>
      <c r="Q211" s="178" t="s">
        <v>0</v>
      </c>
      <c r="R211" s="176"/>
      <c r="S211" s="178" t="s">
        <v>2578</v>
      </c>
      <c r="T211" s="178" t="str">
        <f t="shared" si="128"/>
        <v>X</v>
      </c>
      <c r="U211" s="176">
        <f t="shared" si="140"/>
        <v>9.602999999999998</v>
      </c>
      <c r="V211" s="178" t="str">
        <f t="shared" si="129"/>
        <v xml:space="preserve"> </v>
      </c>
      <c r="W211" s="176">
        <f t="shared" si="141"/>
        <v>0</v>
      </c>
      <c r="X211" s="178" t="str">
        <f t="shared" si="130"/>
        <v xml:space="preserve"> </v>
      </c>
      <c r="Y211" s="176">
        <f t="shared" si="142"/>
        <v>0</v>
      </c>
      <c r="Z211" s="178" t="s">
        <v>2581</v>
      </c>
      <c r="AA211" s="178" t="str">
        <f t="shared" si="131"/>
        <v>X</v>
      </c>
      <c r="AB211" s="176">
        <f t="shared" si="132"/>
        <v>5.78</v>
      </c>
      <c r="AC211" s="178" t="str">
        <f t="shared" si="133"/>
        <v xml:space="preserve"> </v>
      </c>
      <c r="AD211" s="176">
        <f t="shared" si="134"/>
        <v>0</v>
      </c>
      <c r="AE211" s="178" t="str">
        <f t="shared" si="135"/>
        <v xml:space="preserve"> </v>
      </c>
      <c r="AF211" s="176">
        <f t="shared" si="136"/>
        <v>0</v>
      </c>
      <c r="AG211" s="178" t="str">
        <f t="shared" si="137"/>
        <v/>
      </c>
      <c r="AH211" s="176">
        <f t="shared" si="138"/>
        <v>0</v>
      </c>
    </row>
    <row r="212" spans="2:34" ht="16.5" outlineLevel="1" x14ac:dyDescent="0.25">
      <c r="B212" s="175" t="s">
        <v>2657</v>
      </c>
      <c r="C212" s="176">
        <v>27.49</v>
      </c>
      <c r="D212" s="176">
        <v>21.78</v>
      </c>
      <c r="E212" s="194">
        <v>3</v>
      </c>
      <c r="F212" s="194">
        <v>0</v>
      </c>
      <c r="G212" s="194">
        <f t="shared" si="139"/>
        <v>3</v>
      </c>
      <c r="H212" s="176"/>
      <c r="I212" s="178" t="str">
        <f t="shared" si="120"/>
        <v>X</v>
      </c>
      <c r="J212" s="176">
        <f t="shared" si="121"/>
        <v>65.34</v>
      </c>
      <c r="K212" s="178" t="str">
        <f t="shared" si="122"/>
        <v xml:space="preserve"> </v>
      </c>
      <c r="L212" s="176">
        <f t="shared" si="143"/>
        <v>0</v>
      </c>
      <c r="M212" s="178" t="str">
        <f t="shared" si="124"/>
        <v>X</v>
      </c>
      <c r="N212" s="177">
        <f t="shared" si="125"/>
        <v>65.34</v>
      </c>
      <c r="O212" s="178" t="str">
        <f t="shared" si="126"/>
        <v xml:space="preserve"> </v>
      </c>
      <c r="P212" s="176">
        <f t="shared" si="127"/>
        <v>0</v>
      </c>
      <c r="Q212" s="178" t="s">
        <v>0</v>
      </c>
      <c r="R212" s="176">
        <v>1</v>
      </c>
      <c r="S212" s="178" t="s">
        <v>2578</v>
      </c>
      <c r="T212" s="178" t="str">
        <f t="shared" si="128"/>
        <v>X</v>
      </c>
      <c r="U212" s="176">
        <f t="shared" si="140"/>
        <v>65.34</v>
      </c>
      <c r="V212" s="178" t="str">
        <f t="shared" si="129"/>
        <v xml:space="preserve"> </v>
      </c>
      <c r="W212" s="176">
        <f t="shared" si="141"/>
        <v>0</v>
      </c>
      <c r="X212" s="178" t="str">
        <f t="shared" si="130"/>
        <v xml:space="preserve"> </v>
      </c>
      <c r="Y212" s="176">
        <f t="shared" si="142"/>
        <v>0</v>
      </c>
      <c r="Z212" s="178" t="s">
        <v>2581</v>
      </c>
      <c r="AA212" s="178" t="str">
        <f t="shared" si="131"/>
        <v>X</v>
      </c>
      <c r="AB212" s="176">
        <f t="shared" si="132"/>
        <v>27.49</v>
      </c>
      <c r="AC212" s="178" t="str">
        <f t="shared" si="133"/>
        <v xml:space="preserve"> </v>
      </c>
      <c r="AD212" s="176">
        <f t="shared" si="134"/>
        <v>0</v>
      </c>
      <c r="AE212" s="178" t="str">
        <f t="shared" si="135"/>
        <v xml:space="preserve"> </v>
      </c>
      <c r="AF212" s="176">
        <f t="shared" si="136"/>
        <v>0</v>
      </c>
      <c r="AG212" s="178" t="str">
        <f t="shared" si="137"/>
        <v>X</v>
      </c>
      <c r="AH212" s="176">
        <f t="shared" si="138"/>
        <v>21.78</v>
      </c>
    </row>
    <row r="213" spans="2:34" ht="16.5" outlineLevel="1" x14ac:dyDescent="0.25">
      <c r="B213" s="175" t="s">
        <v>2658</v>
      </c>
      <c r="C213" s="176">
        <v>5.2</v>
      </c>
      <c r="D213" s="176">
        <v>10</v>
      </c>
      <c r="E213" s="194">
        <v>3</v>
      </c>
      <c r="F213" s="194">
        <v>2.1</v>
      </c>
      <c r="G213" s="194">
        <f t="shared" si="139"/>
        <v>0.89999999999999991</v>
      </c>
      <c r="H213" s="176"/>
      <c r="I213" s="178" t="str">
        <f t="shared" si="120"/>
        <v>X</v>
      </c>
      <c r="J213" s="176">
        <f t="shared" si="121"/>
        <v>30</v>
      </c>
      <c r="K213" s="178" t="str">
        <f t="shared" si="122"/>
        <v>X</v>
      </c>
      <c r="L213" s="176">
        <f t="shared" si="143"/>
        <v>21</v>
      </c>
      <c r="M213" s="178" t="str">
        <f t="shared" si="124"/>
        <v>X</v>
      </c>
      <c r="N213" s="177">
        <f t="shared" si="125"/>
        <v>9</v>
      </c>
      <c r="O213" s="178" t="str">
        <f t="shared" si="126"/>
        <v>X</v>
      </c>
      <c r="P213" s="176">
        <f t="shared" si="127"/>
        <v>21</v>
      </c>
      <c r="Q213" s="178" t="s">
        <v>0</v>
      </c>
      <c r="R213" s="176"/>
      <c r="S213" s="178" t="s">
        <v>2578</v>
      </c>
      <c r="T213" s="178" t="str">
        <f t="shared" si="128"/>
        <v>X</v>
      </c>
      <c r="U213" s="176">
        <f t="shared" si="140"/>
        <v>9</v>
      </c>
      <c r="V213" s="178" t="str">
        <f t="shared" si="129"/>
        <v xml:space="preserve"> </v>
      </c>
      <c r="W213" s="176">
        <f t="shared" si="141"/>
        <v>0</v>
      </c>
      <c r="X213" s="178" t="str">
        <f t="shared" si="130"/>
        <v xml:space="preserve"> </v>
      </c>
      <c r="Y213" s="176">
        <f t="shared" si="142"/>
        <v>0</v>
      </c>
      <c r="Z213" s="178" t="s">
        <v>2581</v>
      </c>
      <c r="AA213" s="178" t="str">
        <f t="shared" si="131"/>
        <v>X</v>
      </c>
      <c r="AB213" s="176">
        <f t="shared" si="132"/>
        <v>5.2</v>
      </c>
      <c r="AC213" s="178" t="str">
        <f t="shared" si="133"/>
        <v xml:space="preserve"> </v>
      </c>
      <c r="AD213" s="176">
        <f t="shared" si="134"/>
        <v>0</v>
      </c>
      <c r="AE213" s="178" t="str">
        <f t="shared" si="135"/>
        <v xml:space="preserve"> </v>
      </c>
      <c r="AF213" s="176">
        <f t="shared" si="136"/>
        <v>0</v>
      </c>
      <c r="AG213" s="178" t="str">
        <f t="shared" si="137"/>
        <v/>
      </c>
      <c r="AH213" s="176">
        <f t="shared" si="138"/>
        <v>0</v>
      </c>
    </row>
    <row r="214" spans="2:34" ht="16.5" outlineLevel="1" x14ac:dyDescent="0.25">
      <c r="B214" s="175" t="s">
        <v>2667</v>
      </c>
      <c r="C214" s="176">
        <v>27.29</v>
      </c>
      <c r="D214" s="176">
        <v>21.74</v>
      </c>
      <c r="E214" s="194">
        <v>3</v>
      </c>
      <c r="F214" s="194">
        <v>0</v>
      </c>
      <c r="G214" s="194">
        <f t="shared" si="139"/>
        <v>3</v>
      </c>
      <c r="H214" s="176"/>
      <c r="I214" s="178" t="str">
        <f t="shared" si="120"/>
        <v>X</v>
      </c>
      <c r="J214" s="176">
        <f t="shared" si="121"/>
        <v>65.22</v>
      </c>
      <c r="K214" s="178" t="str">
        <f t="shared" si="122"/>
        <v xml:space="preserve"> </v>
      </c>
      <c r="L214" s="176">
        <f t="shared" si="143"/>
        <v>0</v>
      </c>
      <c r="M214" s="178" t="str">
        <f t="shared" si="124"/>
        <v>X</v>
      </c>
      <c r="N214" s="177">
        <f t="shared" si="125"/>
        <v>65.22</v>
      </c>
      <c r="O214" s="178" t="str">
        <f t="shared" si="126"/>
        <v xml:space="preserve"> </v>
      </c>
      <c r="P214" s="176">
        <f t="shared" si="127"/>
        <v>0</v>
      </c>
      <c r="Q214" s="178" t="s">
        <v>0</v>
      </c>
      <c r="R214" s="176">
        <v>1</v>
      </c>
      <c r="S214" s="178" t="s">
        <v>2578</v>
      </c>
      <c r="T214" s="178" t="str">
        <f t="shared" si="128"/>
        <v>X</v>
      </c>
      <c r="U214" s="176">
        <f t="shared" si="140"/>
        <v>65.22</v>
      </c>
      <c r="V214" s="178" t="str">
        <f t="shared" si="129"/>
        <v xml:space="preserve"> </v>
      </c>
      <c r="W214" s="176">
        <f t="shared" si="141"/>
        <v>0</v>
      </c>
      <c r="X214" s="178" t="str">
        <f t="shared" si="130"/>
        <v xml:space="preserve"> </v>
      </c>
      <c r="Y214" s="176">
        <f t="shared" si="142"/>
        <v>0</v>
      </c>
      <c r="Z214" s="178" t="s">
        <v>2581</v>
      </c>
      <c r="AA214" s="178" t="str">
        <f t="shared" si="131"/>
        <v>X</v>
      </c>
      <c r="AB214" s="176">
        <f t="shared" si="132"/>
        <v>27.29</v>
      </c>
      <c r="AC214" s="178" t="str">
        <f t="shared" si="133"/>
        <v xml:space="preserve"> </v>
      </c>
      <c r="AD214" s="176">
        <f t="shared" si="134"/>
        <v>0</v>
      </c>
      <c r="AE214" s="178" t="str">
        <f t="shared" si="135"/>
        <v xml:space="preserve"> </v>
      </c>
      <c r="AF214" s="176">
        <f t="shared" si="136"/>
        <v>0</v>
      </c>
      <c r="AG214" s="178" t="str">
        <f t="shared" si="137"/>
        <v>X</v>
      </c>
      <c r="AH214" s="176">
        <f t="shared" si="138"/>
        <v>21.74</v>
      </c>
    </row>
    <row r="215" spans="2:34" ht="16.5" outlineLevel="1" x14ac:dyDescent="0.25">
      <c r="B215" s="175" t="s">
        <v>2668</v>
      </c>
      <c r="C215" s="176">
        <v>5.22</v>
      </c>
      <c r="D215" s="176">
        <v>10.01</v>
      </c>
      <c r="E215" s="194">
        <v>3</v>
      </c>
      <c r="F215" s="194">
        <v>2.1</v>
      </c>
      <c r="G215" s="194">
        <f t="shared" si="139"/>
        <v>0.89999999999999991</v>
      </c>
      <c r="H215" s="176"/>
      <c r="I215" s="178" t="str">
        <f t="shared" si="120"/>
        <v>X</v>
      </c>
      <c r="J215" s="176">
        <f t="shared" si="121"/>
        <v>30.03</v>
      </c>
      <c r="K215" s="178" t="str">
        <f t="shared" si="122"/>
        <v>X</v>
      </c>
      <c r="L215" s="176">
        <f t="shared" si="143"/>
        <v>21.021000000000001</v>
      </c>
      <c r="M215" s="178" t="str">
        <f t="shared" si="124"/>
        <v>X</v>
      </c>
      <c r="N215" s="177">
        <f t="shared" si="125"/>
        <v>9.0090000000000003</v>
      </c>
      <c r="O215" s="178" t="str">
        <f t="shared" si="126"/>
        <v>X</v>
      </c>
      <c r="P215" s="176">
        <f t="shared" si="127"/>
        <v>21.021000000000001</v>
      </c>
      <c r="Q215" s="178" t="s">
        <v>0</v>
      </c>
      <c r="R215" s="176"/>
      <c r="S215" s="178" t="s">
        <v>2578</v>
      </c>
      <c r="T215" s="178" t="str">
        <f t="shared" si="128"/>
        <v>X</v>
      </c>
      <c r="U215" s="176">
        <f t="shared" si="140"/>
        <v>9.0090000000000003</v>
      </c>
      <c r="V215" s="178" t="str">
        <f t="shared" si="129"/>
        <v xml:space="preserve"> </v>
      </c>
      <c r="W215" s="176">
        <f t="shared" si="141"/>
        <v>0</v>
      </c>
      <c r="X215" s="178" t="str">
        <f t="shared" si="130"/>
        <v xml:space="preserve"> </v>
      </c>
      <c r="Y215" s="176">
        <f t="shared" si="142"/>
        <v>0</v>
      </c>
      <c r="Z215" s="178" t="s">
        <v>2581</v>
      </c>
      <c r="AA215" s="178" t="str">
        <f t="shared" si="131"/>
        <v>X</v>
      </c>
      <c r="AB215" s="176">
        <f t="shared" si="132"/>
        <v>5.22</v>
      </c>
      <c r="AC215" s="178" t="str">
        <f t="shared" si="133"/>
        <v xml:space="preserve"> </v>
      </c>
      <c r="AD215" s="176">
        <f t="shared" si="134"/>
        <v>0</v>
      </c>
      <c r="AE215" s="178" t="str">
        <f t="shared" si="135"/>
        <v xml:space="preserve"> </v>
      </c>
      <c r="AF215" s="176">
        <f t="shared" si="136"/>
        <v>0</v>
      </c>
      <c r="AG215" s="178" t="str">
        <f t="shared" si="137"/>
        <v/>
      </c>
      <c r="AH215" s="176">
        <f t="shared" si="138"/>
        <v>0</v>
      </c>
    </row>
    <row r="216" spans="2:34" ht="16.5" outlineLevel="1" x14ac:dyDescent="0.25">
      <c r="B216" s="175" t="s">
        <v>2673</v>
      </c>
      <c r="C216" s="176">
        <v>27.55</v>
      </c>
      <c r="D216" s="176">
        <v>21.85</v>
      </c>
      <c r="E216" s="194">
        <v>3</v>
      </c>
      <c r="F216" s="194">
        <v>0</v>
      </c>
      <c r="G216" s="194">
        <f t="shared" si="139"/>
        <v>3</v>
      </c>
      <c r="H216" s="176"/>
      <c r="I216" s="178" t="str">
        <f t="shared" si="120"/>
        <v>X</v>
      </c>
      <c r="J216" s="176">
        <f t="shared" si="121"/>
        <v>65.550000000000011</v>
      </c>
      <c r="K216" s="178" t="str">
        <f t="shared" si="122"/>
        <v xml:space="preserve"> </v>
      </c>
      <c r="L216" s="176">
        <f t="shared" si="143"/>
        <v>0</v>
      </c>
      <c r="M216" s="178" t="str">
        <f t="shared" si="124"/>
        <v>X</v>
      </c>
      <c r="N216" s="177">
        <f t="shared" si="125"/>
        <v>65.550000000000011</v>
      </c>
      <c r="O216" s="178" t="str">
        <f t="shared" si="126"/>
        <v xml:space="preserve"> </v>
      </c>
      <c r="P216" s="176">
        <f t="shared" si="127"/>
        <v>0</v>
      </c>
      <c r="Q216" s="178" t="s">
        <v>0</v>
      </c>
      <c r="R216" s="176">
        <v>1</v>
      </c>
      <c r="S216" s="178" t="s">
        <v>2578</v>
      </c>
      <c r="T216" s="178" t="str">
        <f t="shared" si="128"/>
        <v>X</v>
      </c>
      <c r="U216" s="176">
        <f t="shared" si="140"/>
        <v>65.550000000000011</v>
      </c>
      <c r="V216" s="178" t="str">
        <f t="shared" si="129"/>
        <v xml:space="preserve"> </v>
      </c>
      <c r="W216" s="176">
        <f t="shared" si="141"/>
        <v>0</v>
      </c>
      <c r="X216" s="178" t="str">
        <f t="shared" si="130"/>
        <v xml:space="preserve"> </v>
      </c>
      <c r="Y216" s="176">
        <f t="shared" si="142"/>
        <v>0</v>
      </c>
      <c r="Z216" s="178" t="s">
        <v>2581</v>
      </c>
      <c r="AA216" s="178" t="str">
        <f t="shared" si="131"/>
        <v>X</v>
      </c>
      <c r="AB216" s="176">
        <f t="shared" si="132"/>
        <v>27.55</v>
      </c>
      <c r="AC216" s="178" t="str">
        <f t="shared" si="133"/>
        <v xml:space="preserve"> </v>
      </c>
      <c r="AD216" s="176">
        <f t="shared" si="134"/>
        <v>0</v>
      </c>
      <c r="AE216" s="178" t="str">
        <f t="shared" si="135"/>
        <v xml:space="preserve"> </v>
      </c>
      <c r="AF216" s="176">
        <f t="shared" si="136"/>
        <v>0</v>
      </c>
      <c r="AG216" s="178" t="str">
        <f t="shared" si="137"/>
        <v>X</v>
      </c>
      <c r="AH216" s="176">
        <f t="shared" si="138"/>
        <v>21.85</v>
      </c>
    </row>
    <row r="217" spans="2:34" ht="16.5" outlineLevel="1" x14ac:dyDescent="0.25">
      <c r="B217" s="175" t="s">
        <v>2674</v>
      </c>
      <c r="C217" s="176">
        <v>5.23</v>
      </c>
      <c r="D217" s="176">
        <v>10.02</v>
      </c>
      <c r="E217" s="194">
        <v>3</v>
      </c>
      <c r="F217" s="194">
        <v>2.1</v>
      </c>
      <c r="G217" s="194">
        <f t="shared" si="139"/>
        <v>0.89999999999999991</v>
      </c>
      <c r="H217" s="176"/>
      <c r="I217" s="178" t="str">
        <f t="shared" si="120"/>
        <v>X</v>
      </c>
      <c r="J217" s="176">
        <f t="shared" si="121"/>
        <v>30.06</v>
      </c>
      <c r="K217" s="178" t="str">
        <f t="shared" si="122"/>
        <v>X</v>
      </c>
      <c r="L217" s="176">
        <f t="shared" si="143"/>
        <v>21.042000000000002</v>
      </c>
      <c r="M217" s="178" t="str">
        <f t="shared" si="124"/>
        <v>X</v>
      </c>
      <c r="N217" s="177">
        <f t="shared" si="125"/>
        <v>9.0179999999999971</v>
      </c>
      <c r="O217" s="178" t="str">
        <f t="shared" si="126"/>
        <v>X</v>
      </c>
      <c r="P217" s="176">
        <f t="shared" si="127"/>
        <v>21.042000000000002</v>
      </c>
      <c r="Q217" s="178" t="s">
        <v>0</v>
      </c>
      <c r="R217" s="176"/>
      <c r="S217" s="178" t="s">
        <v>2578</v>
      </c>
      <c r="T217" s="178" t="str">
        <f t="shared" si="128"/>
        <v>X</v>
      </c>
      <c r="U217" s="176">
        <f t="shared" si="140"/>
        <v>9.0179999999999971</v>
      </c>
      <c r="V217" s="178" t="str">
        <f t="shared" si="129"/>
        <v xml:space="preserve"> </v>
      </c>
      <c r="W217" s="176">
        <f t="shared" si="141"/>
        <v>0</v>
      </c>
      <c r="X217" s="178" t="str">
        <f t="shared" si="130"/>
        <v xml:space="preserve"> </v>
      </c>
      <c r="Y217" s="176">
        <f t="shared" si="142"/>
        <v>0</v>
      </c>
      <c r="Z217" s="178" t="s">
        <v>2581</v>
      </c>
      <c r="AA217" s="178" t="str">
        <f t="shared" si="131"/>
        <v>X</v>
      </c>
      <c r="AB217" s="176">
        <f t="shared" si="132"/>
        <v>5.23</v>
      </c>
      <c r="AC217" s="178" t="str">
        <f t="shared" si="133"/>
        <v xml:space="preserve"> </v>
      </c>
      <c r="AD217" s="176">
        <f t="shared" si="134"/>
        <v>0</v>
      </c>
      <c r="AE217" s="178" t="str">
        <f t="shared" si="135"/>
        <v xml:space="preserve"> </v>
      </c>
      <c r="AF217" s="176">
        <f t="shared" si="136"/>
        <v>0</v>
      </c>
      <c r="AG217" s="178" t="str">
        <f t="shared" si="137"/>
        <v/>
      </c>
      <c r="AH217" s="176">
        <f t="shared" si="138"/>
        <v>0</v>
      </c>
    </row>
    <row r="218" spans="2:34" ht="16.5" outlineLevel="1" x14ac:dyDescent="0.25">
      <c r="B218" s="175" t="s">
        <v>2675</v>
      </c>
      <c r="C218" s="176">
        <v>27.36</v>
      </c>
      <c r="D218" s="176">
        <v>21.75</v>
      </c>
      <c r="E218" s="194">
        <v>3</v>
      </c>
      <c r="F218" s="194">
        <v>0</v>
      </c>
      <c r="G218" s="194">
        <f t="shared" si="139"/>
        <v>3</v>
      </c>
      <c r="H218" s="176"/>
      <c r="I218" s="178" t="str">
        <f t="shared" si="120"/>
        <v>X</v>
      </c>
      <c r="J218" s="176">
        <f t="shared" si="121"/>
        <v>65.25</v>
      </c>
      <c r="K218" s="178" t="str">
        <f t="shared" si="122"/>
        <v xml:space="preserve"> </v>
      </c>
      <c r="L218" s="176">
        <f t="shared" si="143"/>
        <v>0</v>
      </c>
      <c r="M218" s="178" t="str">
        <f t="shared" si="124"/>
        <v>X</v>
      </c>
      <c r="N218" s="177">
        <f t="shared" si="125"/>
        <v>65.25</v>
      </c>
      <c r="O218" s="178" t="str">
        <f t="shared" si="126"/>
        <v xml:space="preserve"> </v>
      </c>
      <c r="P218" s="176">
        <f t="shared" si="127"/>
        <v>0</v>
      </c>
      <c r="Q218" s="178" t="s">
        <v>0</v>
      </c>
      <c r="R218" s="176">
        <v>1</v>
      </c>
      <c r="S218" s="178" t="s">
        <v>2578</v>
      </c>
      <c r="T218" s="178" t="str">
        <f t="shared" si="128"/>
        <v>X</v>
      </c>
      <c r="U218" s="176">
        <f t="shared" si="140"/>
        <v>65.25</v>
      </c>
      <c r="V218" s="178" t="str">
        <f t="shared" si="129"/>
        <v xml:space="preserve"> </v>
      </c>
      <c r="W218" s="176">
        <f t="shared" si="141"/>
        <v>0</v>
      </c>
      <c r="X218" s="178" t="str">
        <f t="shared" si="130"/>
        <v xml:space="preserve"> </v>
      </c>
      <c r="Y218" s="176">
        <f t="shared" si="142"/>
        <v>0</v>
      </c>
      <c r="Z218" s="178" t="s">
        <v>2581</v>
      </c>
      <c r="AA218" s="178" t="str">
        <f t="shared" si="131"/>
        <v>X</v>
      </c>
      <c r="AB218" s="176">
        <f t="shared" si="132"/>
        <v>27.36</v>
      </c>
      <c r="AC218" s="178" t="str">
        <f t="shared" si="133"/>
        <v xml:space="preserve"> </v>
      </c>
      <c r="AD218" s="176">
        <f t="shared" si="134"/>
        <v>0</v>
      </c>
      <c r="AE218" s="178" t="str">
        <f t="shared" si="135"/>
        <v xml:space="preserve"> </v>
      </c>
      <c r="AF218" s="176">
        <f t="shared" si="136"/>
        <v>0</v>
      </c>
      <c r="AG218" s="178" t="str">
        <f t="shared" si="137"/>
        <v>X</v>
      </c>
      <c r="AH218" s="176">
        <f t="shared" si="138"/>
        <v>21.75</v>
      </c>
    </row>
    <row r="219" spans="2:34" ht="16.5" outlineLevel="1" x14ac:dyDescent="0.25">
      <c r="B219" s="175" t="s">
        <v>2676</v>
      </c>
      <c r="C219" s="176">
        <v>5.21</v>
      </c>
      <c r="D219" s="176">
        <v>10.01</v>
      </c>
      <c r="E219" s="194">
        <v>3</v>
      </c>
      <c r="F219" s="194">
        <v>2.1</v>
      </c>
      <c r="G219" s="194">
        <f t="shared" si="139"/>
        <v>0.89999999999999991</v>
      </c>
      <c r="H219" s="176"/>
      <c r="I219" s="178" t="str">
        <f t="shared" si="120"/>
        <v>X</v>
      </c>
      <c r="J219" s="176">
        <f t="shared" si="121"/>
        <v>30.03</v>
      </c>
      <c r="K219" s="178" t="str">
        <f t="shared" si="122"/>
        <v>X</v>
      </c>
      <c r="L219" s="176">
        <f t="shared" si="143"/>
        <v>21.021000000000001</v>
      </c>
      <c r="M219" s="178" t="str">
        <f t="shared" si="124"/>
        <v>X</v>
      </c>
      <c r="N219" s="177">
        <f t="shared" si="125"/>
        <v>9.0090000000000003</v>
      </c>
      <c r="O219" s="178" t="str">
        <f t="shared" si="126"/>
        <v>X</v>
      </c>
      <c r="P219" s="176">
        <f t="shared" si="127"/>
        <v>21.021000000000001</v>
      </c>
      <c r="Q219" s="178" t="s">
        <v>0</v>
      </c>
      <c r="R219" s="176"/>
      <c r="S219" s="178" t="s">
        <v>2578</v>
      </c>
      <c r="T219" s="178" t="str">
        <f t="shared" si="128"/>
        <v>X</v>
      </c>
      <c r="U219" s="176">
        <f t="shared" si="140"/>
        <v>9.0090000000000003</v>
      </c>
      <c r="V219" s="178" t="str">
        <f t="shared" si="129"/>
        <v xml:space="preserve"> </v>
      </c>
      <c r="W219" s="176">
        <f t="shared" si="141"/>
        <v>0</v>
      </c>
      <c r="X219" s="178" t="str">
        <f t="shared" si="130"/>
        <v xml:space="preserve"> </v>
      </c>
      <c r="Y219" s="176">
        <f t="shared" si="142"/>
        <v>0</v>
      </c>
      <c r="Z219" s="178" t="s">
        <v>2581</v>
      </c>
      <c r="AA219" s="178" t="str">
        <f t="shared" si="131"/>
        <v>X</v>
      </c>
      <c r="AB219" s="176">
        <f t="shared" si="132"/>
        <v>5.21</v>
      </c>
      <c r="AC219" s="178" t="str">
        <f t="shared" si="133"/>
        <v xml:space="preserve"> </v>
      </c>
      <c r="AD219" s="176">
        <f t="shared" si="134"/>
        <v>0</v>
      </c>
      <c r="AE219" s="178" t="str">
        <f t="shared" si="135"/>
        <v xml:space="preserve"> </v>
      </c>
      <c r="AF219" s="176">
        <f t="shared" si="136"/>
        <v>0</v>
      </c>
      <c r="AG219" s="178" t="str">
        <f t="shared" si="137"/>
        <v/>
      </c>
      <c r="AH219" s="176">
        <f t="shared" si="138"/>
        <v>0</v>
      </c>
    </row>
    <row r="220" spans="2:34" ht="16.5" outlineLevel="1" x14ac:dyDescent="0.25">
      <c r="B220" s="175" t="s">
        <v>2679</v>
      </c>
      <c r="C220" s="176">
        <v>27.3</v>
      </c>
      <c r="D220" s="176">
        <v>21.74</v>
      </c>
      <c r="E220" s="194">
        <v>3</v>
      </c>
      <c r="F220" s="194">
        <v>0</v>
      </c>
      <c r="G220" s="194">
        <f t="shared" si="139"/>
        <v>3</v>
      </c>
      <c r="H220" s="176"/>
      <c r="I220" s="178" t="str">
        <f t="shared" si="120"/>
        <v>X</v>
      </c>
      <c r="J220" s="176">
        <f t="shared" si="121"/>
        <v>65.22</v>
      </c>
      <c r="K220" s="178" t="str">
        <f t="shared" si="122"/>
        <v xml:space="preserve"> </v>
      </c>
      <c r="L220" s="176">
        <f t="shared" si="143"/>
        <v>0</v>
      </c>
      <c r="M220" s="178" t="str">
        <f t="shared" si="124"/>
        <v>X</v>
      </c>
      <c r="N220" s="177">
        <f t="shared" si="125"/>
        <v>65.22</v>
      </c>
      <c r="O220" s="178" t="str">
        <f t="shared" si="126"/>
        <v xml:space="preserve"> </v>
      </c>
      <c r="P220" s="176">
        <f t="shared" si="127"/>
        <v>0</v>
      </c>
      <c r="Q220" s="178" t="s">
        <v>0</v>
      </c>
      <c r="R220" s="176">
        <v>1</v>
      </c>
      <c r="S220" s="178" t="s">
        <v>2578</v>
      </c>
      <c r="T220" s="178" t="str">
        <f t="shared" si="128"/>
        <v>X</v>
      </c>
      <c r="U220" s="176">
        <f t="shared" si="140"/>
        <v>65.22</v>
      </c>
      <c r="V220" s="178" t="str">
        <f t="shared" si="129"/>
        <v xml:space="preserve"> </v>
      </c>
      <c r="W220" s="176">
        <f t="shared" si="141"/>
        <v>0</v>
      </c>
      <c r="X220" s="178" t="str">
        <f t="shared" si="130"/>
        <v xml:space="preserve"> </v>
      </c>
      <c r="Y220" s="176">
        <f t="shared" si="142"/>
        <v>0</v>
      </c>
      <c r="Z220" s="178" t="s">
        <v>2581</v>
      </c>
      <c r="AA220" s="178" t="str">
        <f t="shared" si="131"/>
        <v>X</v>
      </c>
      <c r="AB220" s="176">
        <f t="shared" si="132"/>
        <v>27.3</v>
      </c>
      <c r="AC220" s="178" t="str">
        <f t="shared" si="133"/>
        <v xml:space="preserve"> </v>
      </c>
      <c r="AD220" s="176">
        <f t="shared" si="134"/>
        <v>0</v>
      </c>
      <c r="AE220" s="178" t="str">
        <f t="shared" si="135"/>
        <v xml:space="preserve"> </v>
      </c>
      <c r="AF220" s="176">
        <f t="shared" si="136"/>
        <v>0</v>
      </c>
      <c r="AG220" s="178" t="str">
        <f t="shared" si="137"/>
        <v>X</v>
      </c>
      <c r="AH220" s="176">
        <f t="shared" si="138"/>
        <v>21.74</v>
      </c>
    </row>
    <row r="221" spans="2:34" ht="16.5" outlineLevel="1" x14ac:dyDescent="0.25">
      <c r="B221" s="175" t="s">
        <v>2680</v>
      </c>
      <c r="C221" s="176">
        <v>5.21</v>
      </c>
      <c r="D221" s="176">
        <v>10.01</v>
      </c>
      <c r="E221" s="194">
        <v>3</v>
      </c>
      <c r="F221" s="194">
        <v>2.1</v>
      </c>
      <c r="G221" s="194">
        <f t="shared" si="139"/>
        <v>0.89999999999999991</v>
      </c>
      <c r="H221" s="176"/>
      <c r="I221" s="178" t="str">
        <f t="shared" si="120"/>
        <v>X</v>
      </c>
      <c r="J221" s="176">
        <f>IF(I221="X",($D221-H221)*E221,0)</f>
        <v>30.03</v>
      </c>
      <c r="K221" s="178" t="str">
        <f t="shared" si="122"/>
        <v>X</v>
      </c>
      <c r="L221" s="176">
        <f>IF(K221="X",($D221-H221)*F221,0)</f>
        <v>21.021000000000001</v>
      </c>
      <c r="M221" s="178" t="str">
        <f t="shared" si="124"/>
        <v>X</v>
      </c>
      <c r="N221" s="177">
        <f>IF(M221="X",J221-L221,0)</f>
        <v>9.0090000000000003</v>
      </c>
      <c r="O221" s="178" t="str">
        <f t="shared" si="126"/>
        <v>X</v>
      </c>
      <c r="P221" s="176">
        <f>IF(L221&gt;0,L221,0)</f>
        <v>21.021000000000001</v>
      </c>
      <c r="Q221" s="178" t="s">
        <v>0</v>
      </c>
      <c r="R221" s="176"/>
      <c r="S221" s="178" t="s">
        <v>2578</v>
      </c>
      <c r="T221" s="178" t="str">
        <f t="shared" si="128"/>
        <v>X</v>
      </c>
      <c r="U221" s="176">
        <f t="shared" si="140"/>
        <v>9.0090000000000003</v>
      </c>
      <c r="V221" s="178" t="str">
        <f t="shared" si="129"/>
        <v xml:space="preserve"> </v>
      </c>
      <c r="W221" s="176">
        <f t="shared" si="141"/>
        <v>0</v>
      </c>
      <c r="X221" s="178" t="str">
        <f t="shared" si="130"/>
        <v xml:space="preserve"> </v>
      </c>
      <c r="Y221" s="176">
        <f t="shared" si="142"/>
        <v>0</v>
      </c>
      <c r="Z221" s="178" t="s">
        <v>2581</v>
      </c>
      <c r="AA221" s="178" t="str">
        <f t="shared" si="131"/>
        <v>X</v>
      </c>
      <c r="AB221" s="176">
        <f t="shared" si="132"/>
        <v>5.21</v>
      </c>
      <c r="AC221" s="178" t="str">
        <f t="shared" si="133"/>
        <v xml:space="preserve"> </v>
      </c>
      <c r="AD221" s="176">
        <f t="shared" si="134"/>
        <v>0</v>
      </c>
      <c r="AE221" s="178" t="str">
        <f t="shared" si="135"/>
        <v xml:space="preserve"> </v>
      </c>
      <c r="AF221" s="176">
        <f t="shared" si="136"/>
        <v>0</v>
      </c>
      <c r="AG221" s="178" t="str">
        <f t="shared" si="137"/>
        <v/>
      </c>
      <c r="AH221" s="176">
        <f t="shared" si="138"/>
        <v>0</v>
      </c>
    </row>
    <row r="222" spans="2:34" ht="16.5" outlineLevel="1" x14ac:dyDescent="0.25">
      <c r="B222" s="175" t="s">
        <v>2594</v>
      </c>
      <c r="C222" s="176">
        <v>119.42</v>
      </c>
      <c r="D222" s="176">
        <v>112.86</v>
      </c>
      <c r="E222" s="194">
        <v>3</v>
      </c>
      <c r="F222" s="194">
        <v>0</v>
      </c>
      <c r="G222" s="194">
        <f t="shared" si="139"/>
        <v>3</v>
      </c>
      <c r="H222" s="176"/>
      <c r="I222" s="178" t="str">
        <f t="shared" si="120"/>
        <v>X</v>
      </c>
      <c r="J222" s="176">
        <f>IF(I222="X",($D222-H222)*E222,0)</f>
        <v>338.58</v>
      </c>
      <c r="K222" s="178" t="str">
        <f t="shared" si="122"/>
        <v xml:space="preserve"> </v>
      </c>
      <c r="L222" s="176">
        <f>IF(K222="X",($D222-H222)*F222,0)</f>
        <v>0</v>
      </c>
      <c r="M222" s="178" t="str">
        <f t="shared" si="124"/>
        <v>X</v>
      </c>
      <c r="N222" s="177">
        <f>IF(M222="X",J222-L222,0)</f>
        <v>338.58</v>
      </c>
      <c r="O222" s="178" t="str">
        <f t="shared" si="126"/>
        <v xml:space="preserve"> </v>
      </c>
      <c r="P222" s="176">
        <f>IF(L222&gt;0,L222,0)</f>
        <v>0</v>
      </c>
      <c r="Q222" s="178" t="s">
        <v>0</v>
      </c>
      <c r="R222" s="176"/>
      <c r="S222" s="178" t="s">
        <v>2578</v>
      </c>
      <c r="T222" s="178" t="str">
        <f t="shared" si="128"/>
        <v>X</v>
      </c>
      <c r="U222" s="176">
        <f t="shared" si="140"/>
        <v>338.58</v>
      </c>
      <c r="V222" s="178" t="str">
        <f t="shared" si="129"/>
        <v xml:space="preserve"> </v>
      </c>
      <c r="W222" s="176">
        <f t="shared" si="141"/>
        <v>0</v>
      </c>
      <c r="X222" s="178" t="str">
        <f t="shared" si="130"/>
        <v xml:space="preserve"> </v>
      </c>
      <c r="Y222" s="176">
        <f t="shared" si="142"/>
        <v>0</v>
      </c>
      <c r="Z222" s="178" t="s">
        <v>2582</v>
      </c>
      <c r="AA222" s="178" t="str">
        <f t="shared" si="131"/>
        <v xml:space="preserve"> </v>
      </c>
      <c r="AB222" s="176">
        <f t="shared" si="132"/>
        <v>0</v>
      </c>
      <c r="AC222" s="178" t="str">
        <f t="shared" si="133"/>
        <v>X</v>
      </c>
      <c r="AD222" s="176">
        <f t="shared" si="134"/>
        <v>119.42</v>
      </c>
      <c r="AE222" s="178" t="str">
        <f t="shared" si="135"/>
        <v xml:space="preserve"> </v>
      </c>
      <c r="AF222" s="176">
        <f t="shared" si="136"/>
        <v>0</v>
      </c>
      <c r="AG222" s="178" t="str">
        <f t="shared" si="137"/>
        <v>X</v>
      </c>
      <c r="AH222" s="176">
        <f t="shared" si="138"/>
        <v>112.86</v>
      </c>
    </row>
    <row r="223" spans="2:34" ht="16.5" x14ac:dyDescent="0.25">
      <c r="B223" s="182"/>
      <c r="C223" s="185"/>
      <c r="D223" s="185"/>
      <c r="E223" s="185"/>
      <c r="F223" s="185"/>
      <c r="G223" s="185"/>
      <c r="H223" s="185"/>
      <c r="I223" s="184"/>
      <c r="J223" s="185"/>
      <c r="K223" s="184"/>
      <c r="L223" s="185"/>
      <c r="M223" s="184"/>
      <c r="N223" s="185"/>
      <c r="O223" s="201"/>
      <c r="P223" s="185"/>
      <c r="Q223" s="184"/>
      <c r="R223" s="189"/>
      <c r="S223" s="185"/>
      <c r="T223" s="184"/>
      <c r="U223" s="185"/>
      <c r="V223" s="184"/>
      <c r="W223" s="185"/>
      <c r="X223" s="184"/>
      <c r="Y223" s="189"/>
      <c r="Z223" s="185"/>
      <c r="AA223" s="184"/>
      <c r="AB223" s="185"/>
      <c r="AC223" s="184"/>
      <c r="AD223" s="185"/>
      <c r="AE223" s="184"/>
      <c r="AF223" s="189"/>
      <c r="AG223" s="184"/>
      <c r="AH223" s="189"/>
    </row>
    <row r="224" spans="2:34" ht="16.5" x14ac:dyDescent="0.25">
      <c r="B224" s="929" t="s">
        <v>2727</v>
      </c>
      <c r="C224" s="930"/>
      <c r="D224" s="930"/>
      <c r="E224" s="930"/>
      <c r="F224" s="930"/>
      <c r="G224" s="930"/>
      <c r="H224" s="931"/>
      <c r="I224" s="190" t="s">
        <v>2586</v>
      </c>
      <c r="J224" s="191">
        <f>SUBTOTAL(9,J225:J254)</f>
        <v>1152.72</v>
      </c>
      <c r="K224" s="192" t="s">
        <v>2586</v>
      </c>
      <c r="L224" s="191">
        <f>SUBTOTAL(9,L225:L254)</f>
        <v>173.79600000000002</v>
      </c>
      <c r="M224" s="190" t="s">
        <v>2586</v>
      </c>
      <c r="N224" s="200">
        <f>SUBTOTAL(9,N225:N254)</f>
        <v>978.92399999999998</v>
      </c>
      <c r="O224" s="190" t="s">
        <v>2586</v>
      </c>
      <c r="P224" s="191">
        <f>SUBTOTAL(9,P225:P254)</f>
        <v>174.79600000000002</v>
      </c>
      <c r="Q224" s="190" t="s">
        <v>2586</v>
      </c>
      <c r="R224" s="191">
        <f>SUBTOTAL(9,R225:R254)</f>
        <v>0</v>
      </c>
      <c r="S224" s="191"/>
      <c r="T224" s="190" t="s">
        <v>2586</v>
      </c>
      <c r="U224" s="200">
        <f>SUBTOTAL(9,U225:U254)</f>
        <v>747.41399999999999</v>
      </c>
      <c r="V224" s="190" t="s">
        <v>2586</v>
      </c>
      <c r="W224" s="191">
        <f>SUBTOTAL(9,W225:W254)</f>
        <v>231.51</v>
      </c>
      <c r="X224" s="190" t="s">
        <v>2586</v>
      </c>
      <c r="Y224" s="191">
        <f>SUBTOTAL(9,Y225:Y254)</f>
        <v>0</v>
      </c>
      <c r="Z224" s="191"/>
      <c r="AA224" s="190" t="s">
        <v>2586</v>
      </c>
      <c r="AB224" s="200">
        <f>SUBTOTAL(9,AB225:AB254)</f>
        <v>304.88999999999993</v>
      </c>
      <c r="AC224" s="190" t="s">
        <v>2586</v>
      </c>
      <c r="AD224" s="191">
        <f>SUBTOTAL(9,AD225:AD254)</f>
        <v>62.39</v>
      </c>
      <c r="AE224" s="190" t="s">
        <v>2586</v>
      </c>
      <c r="AF224" s="191">
        <f>SUBTOTAL(9,AF225:AF254)</f>
        <v>0</v>
      </c>
      <c r="AG224" s="190" t="s">
        <v>2586</v>
      </c>
      <c r="AH224" s="191">
        <f>SUBTOTAL(9,AH225:AH254)</f>
        <v>301.48</v>
      </c>
    </row>
    <row r="225" spans="2:34" ht="16.5" outlineLevel="1" x14ac:dyDescent="0.25">
      <c r="B225" s="175" t="s">
        <v>2678</v>
      </c>
      <c r="C225" s="176">
        <v>4.6500000000000004</v>
      </c>
      <c r="D225" s="176">
        <v>9.4</v>
      </c>
      <c r="E225" s="194">
        <v>3</v>
      </c>
      <c r="F225" s="194">
        <v>2.1</v>
      </c>
      <c r="G225" s="194">
        <f>E225-F225</f>
        <v>0.89999999999999991</v>
      </c>
      <c r="H225" s="176"/>
      <c r="I225" s="178" t="str">
        <f t="shared" ref="I225:I254" si="144">IF($E225&gt;0,"X"," ")</f>
        <v>X</v>
      </c>
      <c r="J225" s="176">
        <f t="shared" ref="J225:J247" si="145">IF(I225="X",($D225-H225)*E225,0)</f>
        <v>28.200000000000003</v>
      </c>
      <c r="K225" s="178" t="str">
        <f t="shared" ref="K225:K254" si="146">IF($F225&gt;0,"X"," ")</f>
        <v>X</v>
      </c>
      <c r="L225" s="176">
        <f t="shared" ref="L225:L235" si="147">IF(K225="X",($D225-H225)*F225,0)</f>
        <v>19.740000000000002</v>
      </c>
      <c r="M225" s="178" t="str">
        <f t="shared" ref="M225:M254" si="148">IF($E225&gt;0,"X"," ")</f>
        <v>X</v>
      </c>
      <c r="N225" s="177">
        <f t="shared" ref="N225:N247" si="149">IF(M225="X",J225-L225,0)</f>
        <v>8.4600000000000009</v>
      </c>
      <c r="O225" s="178" t="str">
        <f t="shared" ref="O225:O254" si="150">IF($F225&gt;0,"X"," ")</f>
        <v>X</v>
      </c>
      <c r="P225" s="176">
        <f t="shared" ref="P225:P247" si="151">IF(L225&gt;0,L225,0)</f>
        <v>19.740000000000002</v>
      </c>
      <c r="Q225" s="178" t="s">
        <v>0</v>
      </c>
      <c r="R225" s="176"/>
      <c r="S225" s="178" t="s">
        <v>2578</v>
      </c>
      <c r="T225" s="178" t="str">
        <f t="shared" ref="T225:T254" si="152">IF($S225="ACRÍLICA","X"," ")</f>
        <v>X</v>
      </c>
      <c r="U225" s="176">
        <f>IF(T225="X",$N225,0)</f>
        <v>8.4600000000000009</v>
      </c>
      <c r="V225" s="178" t="str">
        <f t="shared" ref="V225:V254" si="153">IF($S225="EPÓXI","X"," ")</f>
        <v xml:space="preserve"> </v>
      </c>
      <c r="W225" s="176">
        <f>IF(V225="X",$N225,0)</f>
        <v>0</v>
      </c>
      <c r="X225" s="178" t="str">
        <f t="shared" ref="X225:X254" si="154">IF($S225="TEXTURA","X"," ")</f>
        <v xml:space="preserve"> </v>
      </c>
      <c r="Y225" s="176">
        <f>IF(X225="X",$N225,0)</f>
        <v>0</v>
      </c>
      <c r="Z225" s="178" t="s">
        <v>2581</v>
      </c>
      <c r="AA225" s="178" t="str">
        <f t="shared" ref="AA225:AA254" si="155">IF($Z225="ACARTONADO","X"," ")</f>
        <v>X</v>
      </c>
      <c r="AB225" s="176">
        <f t="shared" ref="AB225:AB254" si="156">IF(AA225="X",$C225,0)</f>
        <v>4.6500000000000004</v>
      </c>
      <c r="AC225" s="178" t="str">
        <f t="shared" ref="AC225:AC254" si="157">IF($Z225="MINERAL","X"," ")</f>
        <v xml:space="preserve"> </v>
      </c>
      <c r="AD225" s="176">
        <f t="shared" ref="AD225:AD254" si="158">IF(AC225="X",$C225,0)</f>
        <v>0</v>
      </c>
      <c r="AE225" s="178" t="str">
        <f t="shared" ref="AE225:AE254" si="159">IF($Z225="LAJE","X"," ")</f>
        <v xml:space="preserve"> </v>
      </c>
      <c r="AF225" s="176">
        <f t="shared" ref="AF225:AF254" si="160">IF(AE225="X",$C225,0)</f>
        <v>0</v>
      </c>
      <c r="AG225" s="178" t="str">
        <f t="shared" ref="AG225:AG254" si="161">IF(K225="X","","X")</f>
        <v/>
      </c>
      <c r="AH225" s="176">
        <f t="shared" ref="AH225:AH254" si="162">IF(AG225="X",$D225-H225,0)</f>
        <v>0</v>
      </c>
    </row>
    <row r="226" spans="2:34" ht="16.5" outlineLevel="1" x14ac:dyDescent="0.25">
      <c r="B226" s="175" t="s">
        <v>2678</v>
      </c>
      <c r="C226" s="176">
        <v>4.7</v>
      </c>
      <c r="D226" s="176">
        <v>9.4</v>
      </c>
      <c r="E226" s="194">
        <v>3</v>
      </c>
      <c r="F226" s="194">
        <v>2.1</v>
      </c>
      <c r="G226" s="194">
        <f t="shared" ref="G226:G254" si="163">E226-F226</f>
        <v>0.89999999999999991</v>
      </c>
      <c r="H226" s="176"/>
      <c r="I226" s="178" t="str">
        <f t="shared" si="144"/>
        <v>X</v>
      </c>
      <c r="J226" s="176">
        <f t="shared" si="145"/>
        <v>28.200000000000003</v>
      </c>
      <c r="K226" s="178" t="str">
        <f t="shared" si="146"/>
        <v>X</v>
      </c>
      <c r="L226" s="176">
        <f t="shared" si="147"/>
        <v>19.740000000000002</v>
      </c>
      <c r="M226" s="178" t="str">
        <f t="shared" si="148"/>
        <v>X</v>
      </c>
      <c r="N226" s="177">
        <f t="shared" si="149"/>
        <v>8.4600000000000009</v>
      </c>
      <c r="O226" s="178" t="str">
        <f t="shared" si="150"/>
        <v>X</v>
      </c>
      <c r="P226" s="176">
        <f t="shared" si="151"/>
        <v>19.740000000000002</v>
      </c>
      <c r="Q226" s="178" t="s">
        <v>0</v>
      </c>
      <c r="R226" s="176"/>
      <c r="S226" s="178" t="s">
        <v>2578</v>
      </c>
      <c r="T226" s="178" t="str">
        <f t="shared" si="152"/>
        <v>X</v>
      </c>
      <c r="U226" s="176">
        <f t="shared" ref="U226:U254" si="164">IF(T226="X",$N226,0)</f>
        <v>8.4600000000000009</v>
      </c>
      <c r="V226" s="178" t="str">
        <f t="shared" si="153"/>
        <v xml:space="preserve"> </v>
      </c>
      <c r="W226" s="176">
        <f t="shared" ref="W226:W254" si="165">IF(V226="X",$N226,0)</f>
        <v>0</v>
      </c>
      <c r="X226" s="178" t="str">
        <f t="shared" si="154"/>
        <v xml:space="preserve"> </v>
      </c>
      <c r="Y226" s="176">
        <f t="shared" ref="Y226:Y254" si="166">IF(X226="X",$N226,0)</f>
        <v>0</v>
      </c>
      <c r="Z226" s="178" t="s">
        <v>2581</v>
      </c>
      <c r="AA226" s="178" t="str">
        <f t="shared" si="155"/>
        <v>X</v>
      </c>
      <c r="AB226" s="176">
        <f t="shared" si="156"/>
        <v>4.7</v>
      </c>
      <c r="AC226" s="178" t="str">
        <f t="shared" si="157"/>
        <v xml:space="preserve"> </v>
      </c>
      <c r="AD226" s="176">
        <f t="shared" si="158"/>
        <v>0</v>
      </c>
      <c r="AE226" s="178" t="str">
        <f t="shared" si="159"/>
        <v xml:space="preserve"> </v>
      </c>
      <c r="AF226" s="176">
        <f t="shared" si="160"/>
        <v>0</v>
      </c>
      <c r="AG226" s="178" t="str">
        <f t="shared" si="161"/>
        <v/>
      </c>
      <c r="AH226" s="176">
        <f t="shared" si="162"/>
        <v>0</v>
      </c>
    </row>
    <row r="227" spans="2:34" ht="16.5" outlineLevel="1" x14ac:dyDescent="0.25">
      <c r="B227" s="175" t="s">
        <v>2728</v>
      </c>
      <c r="C227" s="176">
        <v>13.59</v>
      </c>
      <c r="D227" s="176">
        <v>14.75</v>
      </c>
      <c r="E227" s="194">
        <v>3</v>
      </c>
      <c r="F227" s="194">
        <v>0</v>
      </c>
      <c r="G227" s="194">
        <f t="shared" si="163"/>
        <v>3</v>
      </c>
      <c r="H227" s="176"/>
      <c r="I227" s="178" t="str">
        <f t="shared" si="144"/>
        <v>X</v>
      </c>
      <c r="J227" s="176">
        <f t="shared" si="145"/>
        <v>44.25</v>
      </c>
      <c r="K227" s="178" t="str">
        <f t="shared" si="146"/>
        <v xml:space="preserve"> </v>
      </c>
      <c r="L227" s="176">
        <f t="shared" si="147"/>
        <v>0</v>
      </c>
      <c r="M227" s="178" t="str">
        <f t="shared" si="148"/>
        <v>X</v>
      </c>
      <c r="N227" s="177">
        <f t="shared" si="149"/>
        <v>44.25</v>
      </c>
      <c r="O227" s="178" t="str">
        <f t="shared" si="150"/>
        <v xml:space="preserve"> </v>
      </c>
      <c r="P227" s="176">
        <f t="shared" si="151"/>
        <v>0</v>
      </c>
      <c r="Q227" s="178" t="s">
        <v>0</v>
      </c>
      <c r="R227" s="176"/>
      <c r="S227" s="178" t="s">
        <v>2579</v>
      </c>
      <c r="T227" s="178" t="str">
        <f t="shared" si="152"/>
        <v xml:space="preserve"> </v>
      </c>
      <c r="U227" s="176">
        <f t="shared" si="164"/>
        <v>0</v>
      </c>
      <c r="V227" s="178" t="str">
        <f t="shared" si="153"/>
        <v>X</v>
      </c>
      <c r="W227" s="176">
        <f t="shared" si="165"/>
        <v>44.25</v>
      </c>
      <c r="X227" s="178" t="str">
        <f t="shared" si="154"/>
        <v xml:space="preserve"> </v>
      </c>
      <c r="Y227" s="176">
        <f t="shared" si="166"/>
        <v>0</v>
      </c>
      <c r="Z227" s="178" t="s">
        <v>2581</v>
      </c>
      <c r="AA227" s="178" t="str">
        <f t="shared" si="155"/>
        <v>X</v>
      </c>
      <c r="AB227" s="176">
        <f t="shared" si="156"/>
        <v>13.59</v>
      </c>
      <c r="AC227" s="178" t="str">
        <f t="shared" si="157"/>
        <v xml:space="preserve"> </v>
      </c>
      <c r="AD227" s="176">
        <f t="shared" si="158"/>
        <v>0</v>
      </c>
      <c r="AE227" s="178" t="str">
        <f t="shared" si="159"/>
        <v xml:space="preserve"> </v>
      </c>
      <c r="AF227" s="176">
        <f t="shared" si="160"/>
        <v>0</v>
      </c>
      <c r="AG227" s="178" t="str">
        <f t="shared" si="161"/>
        <v>X</v>
      </c>
      <c r="AH227" s="176">
        <f t="shared" si="162"/>
        <v>14.75</v>
      </c>
    </row>
    <row r="228" spans="2:34" ht="16.5" outlineLevel="1" x14ac:dyDescent="0.25">
      <c r="B228" s="175" t="s">
        <v>2729</v>
      </c>
      <c r="C228" s="176">
        <f>178.13-20.54</f>
        <v>157.59</v>
      </c>
      <c r="D228" s="176">
        <v>62.28</v>
      </c>
      <c r="E228" s="194">
        <v>3</v>
      </c>
      <c r="F228" s="194">
        <v>0</v>
      </c>
      <c r="G228" s="194">
        <f t="shared" si="163"/>
        <v>3</v>
      </c>
      <c r="H228" s="176"/>
      <c r="I228" s="178" t="str">
        <f t="shared" si="144"/>
        <v>X</v>
      </c>
      <c r="J228" s="176">
        <f t="shared" si="145"/>
        <v>186.84</v>
      </c>
      <c r="K228" s="178" t="str">
        <f t="shared" si="146"/>
        <v xml:space="preserve"> </v>
      </c>
      <c r="L228" s="176">
        <f t="shared" si="147"/>
        <v>0</v>
      </c>
      <c r="M228" s="178" t="str">
        <f t="shared" si="148"/>
        <v>X</v>
      </c>
      <c r="N228" s="177">
        <f t="shared" si="149"/>
        <v>186.84</v>
      </c>
      <c r="O228" s="178" t="str">
        <f t="shared" si="150"/>
        <v xml:space="preserve"> </v>
      </c>
      <c r="P228" s="176">
        <f t="shared" si="151"/>
        <v>0</v>
      </c>
      <c r="Q228" s="178" t="s">
        <v>0</v>
      </c>
      <c r="R228" s="176"/>
      <c r="S228" s="178" t="s">
        <v>2578</v>
      </c>
      <c r="T228" s="178" t="str">
        <f t="shared" si="152"/>
        <v>X</v>
      </c>
      <c r="U228" s="176">
        <f t="shared" si="164"/>
        <v>186.84</v>
      </c>
      <c r="V228" s="178" t="str">
        <f t="shared" si="153"/>
        <v xml:space="preserve"> </v>
      </c>
      <c r="W228" s="176">
        <f t="shared" si="165"/>
        <v>0</v>
      </c>
      <c r="X228" s="178" t="str">
        <f t="shared" si="154"/>
        <v xml:space="preserve"> </v>
      </c>
      <c r="Y228" s="176">
        <f t="shared" si="166"/>
        <v>0</v>
      </c>
      <c r="Z228" s="178" t="s">
        <v>2581</v>
      </c>
      <c r="AA228" s="178" t="str">
        <f t="shared" si="155"/>
        <v>X</v>
      </c>
      <c r="AB228" s="176">
        <f t="shared" si="156"/>
        <v>157.59</v>
      </c>
      <c r="AC228" s="178" t="str">
        <f t="shared" si="157"/>
        <v xml:space="preserve"> </v>
      </c>
      <c r="AD228" s="176">
        <f t="shared" si="158"/>
        <v>0</v>
      </c>
      <c r="AE228" s="178" t="str">
        <f t="shared" si="159"/>
        <v xml:space="preserve"> </v>
      </c>
      <c r="AF228" s="176">
        <f t="shared" si="160"/>
        <v>0</v>
      </c>
      <c r="AG228" s="178" t="str">
        <f t="shared" si="161"/>
        <v>X</v>
      </c>
      <c r="AH228" s="176">
        <f t="shared" si="162"/>
        <v>62.28</v>
      </c>
    </row>
    <row r="229" spans="2:34" ht="16.5" outlineLevel="1" x14ac:dyDescent="0.25">
      <c r="B229" s="175" t="s">
        <v>2730</v>
      </c>
      <c r="C229" s="176">
        <v>16.45</v>
      </c>
      <c r="D229" s="176">
        <v>19</v>
      </c>
      <c r="E229" s="194">
        <v>3</v>
      </c>
      <c r="F229" s="194">
        <v>0</v>
      </c>
      <c r="G229" s="194">
        <f t="shared" si="163"/>
        <v>3</v>
      </c>
      <c r="H229" s="176"/>
      <c r="I229" s="178" t="str">
        <f t="shared" si="144"/>
        <v>X</v>
      </c>
      <c r="J229" s="176">
        <f t="shared" si="145"/>
        <v>57</v>
      </c>
      <c r="K229" s="178" t="str">
        <f t="shared" si="146"/>
        <v xml:space="preserve"> </v>
      </c>
      <c r="L229" s="176">
        <f t="shared" si="147"/>
        <v>0</v>
      </c>
      <c r="M229" s="178" t="str">
        <f t="shared" si="148"/>
        <v>X</v>
      </c>
      <c r="N229" s="177">
        <f t="shared" si="149"/>
        <v>57</v>
      </c>
      <c r="O229" s="178" t="str">
        <f t="shared" si="150"/>
        <v xml:space="preserve"> </v>
      </c>
      <c r="P229" s="176">
        <f t="shared" si="151"/>
        <v>0</v>
      </c>
      <c r="Q229" s="178" t="s">
        <v>0</v>
      </c>
      <c r="R229" s="176"/>
      <c r="S229" s="178" t="s">
        <v>2579</v>
      </c>
      <c r="T229" s="178" t="str">
        <f t="shared" si="152"/>
        <v xml:space="preserve"> </v>
      </c>
      <c r="U229" s="176">
        <f t="shared" si="164"/>
        <v>0</v>
      </c>
      <c r="V229" s="178" t="str">
        <f t="shared" si="153"/>
        <v>X</v>
      </c>
      <c r="W229" s="176">
        <f t="shared" si="165"/>
        <v>57</v>
      </c>
      <c r="X229" s="178" t="str">
        <f t="shared" si="154"/>
        <v xml:space="preserve"> </v>
      </c>
      <c r="Y229" s="176">
        <f t="shared" si="166"/>
        <v>0</v>
      </c>
      <c r="Z229" s="178" t="s">
        <v>2582</v>
      </c>
      <c r="AA229" s="178" t="str">
        <f t="shared" si="155"/>
        <v xml:space="preserve"> </v>
      </c>
      <c r="AB229" s="176">
        <f t="shared" si="156"/>
        <v>0</v>
      </c>
      <c r="AC229" s="178" t="str">
        <f t="shared" si="157"/>
        <v>X</v>
      </c>
      <c r="AD229" s="176">
        <f t="shared" si="158"/>
        <v>16.45</v>
      </c>
      <c r="AE229" s="178" t="str">
        <f t="shared" si="159"/>
        <v xml:space="preserve"> </v>
      </c>
      <c r="AF229" s="176">
        <f t="shared" si="160"/>
        <v>0</v>
      </c>
      <c r="AG229" s="178" t="str">
        <f t="shared" si="161"/>
        <v>X</v>
      </c>
      <c r="AH229" s="176">
        <f t="shared" si="162"/>
        <v>19</v>
      </c>
    </row>
    <row r="230" spans="2:34" ht="16.5" outlineLevel="1" x14ac:dyDescent="0.25">
      <c r="B230" s="175" t="s">
        <v>2666</v>
      </c>
      <c r="C230" s="176">
        <v>6.23</v>
      </c>
      <c r="D230" s="176">
        <v>10.57</v>
      </c>
      <c r="E230" s="194">
        <v>3</v>
      </c>
      <c r="F230" s="194">
        <v>0</v>
      </c>
      <c r="G230" s="194">
        <f t="shared" si="163"/>
        <v>3</v>
      </c>
      <c r="H230" s="176"/>
      <c r="I230" s="178" t="str">
        <f t="shared" si="144"/>
        <v>X</v>
      </c>
      <c r="J230" s="176">
        <f t="shared" si="145"/>
        <v>31.71</v>
      </c>
      <c r="K230" s="178" t="str">
        <f t="shared" si="146"/>
        <v xml:space="preserve"> </v>
      </c>
      <c r="L230" s="176">
        <f t="shared" si="147"/>
        <v>0</v>
      </c>
      <c r="M230" s="178" t="str">
        <f t="shared" si="148"/>
        <v>X</v>
      </c>
      <c r="N230" s="177">
        <f t="shared" si="149"/>
        <v>31.71</v>
      </c>
      <c r="O230" s="178" t="str">
        <f t="shared" si="150"/>
        <v xml:space="preserve"> </v>
      </c>
      <c r="P230" s="176">
        <f t="shared" si="151"/>
        <v>0</v>
      </c>
      <c r="Q230" s="178" t="s">
        <v>0</v>
      </c>
      <c r="R230" s="176"/>
      <c r="S230" s="178" t="s">
        <v>2579</v>
      </c>
      <c r="T230" s="178" t="str">
        <f t="shared" si="152"/>
        <v xml:space="preserve"> </v>
      </c>
      <c r="U230" s="176">
        <f t="shared" si="164"/>
        <v>0</v>
      </c>
      <c r="V230" s="178" t="str">
        <f t="shared" si="153"/>
        <v>X</v>
      </c>
      <c r="W230" s="176">
        <f t="shared" si="165"/>
        <v>31.71</v>
      </c>
      <c r="X230" s="178" t="str">
        <f t="shared" si="154"/>
        <v xml:space="preserve"> </v>
      </c>
      <c r="Y230" s="176">
        <f t="shared" si="166"/>
        <v>0</v>
      </c>
      <c r="Z230" s="178" t="s">
        <v>2581</v>
      </c>
      <c r="AA230" s="178" t="str">
        <f t="shared" si="155"/>
        <v>X</v>
      </c>
      <c r="AB230" s="176">
        <f t="shared" si="156"/>
        <v>6.23</v>
      </c>
      <c r="AC230" s="178" t="str">
        <f t="shared" si="157"/>
        <v xml:space="preserve"> </v>
      </c>
      <c r="AD230" s="176">
        <f t="shared" si="158"/>
        <v>0</v>
      </c>
      <c r="AE230" s="178" t="str">
        <f t="shared" si="159"/>
        <v xml:space="preserve"> </v>
      </c>
      <c r="AF230" s="176">
        <f t="shared" si="160"/>
        <v>0</v>
      </c>
      <c r="AG230" s="178" t="str">
        <f t="shared" si="161"/>
        <v>X</v>
      </c>
      <c r="AH230" s="176">
        <f t="shared" si="162"/>
        <v>10.57</v>
      </c>
    </row>
    <row r="231" spans="2:34" ht="16.5" outlineLevel="1" x14ac:dyDescent="0.25">
      <c r="B231" s="175" t="s">
        <v>2731</v>
      </c>
      <c r="C231" s="176">
        <v>6.25</v>
      </c>
      <c r="D231" s="176">
        <v>10.199999999999999</v>
      </c>
      <c r="E231" s="194">
        <v>3</v>
      </c>
      <c r="F231" s="194">
        <v>0</v>
      </c>
      <c r="G231" s="194">
        <f t="shared" si="163"/>
        <v>3</v>
      </c>
      <c r="H231" s="176"/>
      <c r="I231" s="178" t="str">
        <f t="shared" si="144"/>
        <v>X</v>
      </c>
      <c r="J231" s="176">
        <f t="shared" si="145"/>
        <v>30.599999999999998</v>
      </c>
      <c r="K231" s="178" t="str">
        <f t="shared" si="146"/>
        <v xml:space="preserve"> </v>
      </c>
      <c r="L231" s="176">
        <f t="shared" si="147"/>
        <v>0</v>
      </c>
      <c r="M231" s="178" t="str">
        <f t="shared" si="148"/>
        <v>X</v>
      </c>
      <c r="N231" s="177">
        <f t="shared" si="149"/>
        <v>30.599999999999998</v>
      </c>
      <c r="O231" s="178" t="str">
        <f t="shared" si="150"/>
        <v xml:space="preserve"> </v>
      </c>
      <c r="P231" s="176">
        <f t="shared" si="151"/>
        <v>0</v>
      </c>
      <c r="Q231" s="178" t="s">
        <v>0</v>
      </c>
      <c r="R231" s="176"/>
      <c r="S231" s="178" t="s">
        <v>2579</v>
      </c>
      <c r="T231" s="178" t="str">
        <f t="shared" si="152"/>
        <v xml:space="preserve"> </v>
      </c>
      <c r="U231" s="176">
        <f t="shared" si="164"/>
        <v>0</v>
      </c>
      <c r="V231" s="178" t="str">
        <f t="shared" si="153"/>
        <v>X</v>
      </c>
      <c r="W231" s="176">
        <f t="shared" si="165"/>
        <v>30.599999999999998</v>
      </c>
      <c r="X231" s="178" t="str">
        <f t="shared" si="154"/>
        <v xml:space="preserve"> </v>
      </c>
      <c r="Y231" s="176">
        <f t="shared" si="166"/>
        <v>0</v>
      </c>
      <c r="Z231" s="178" t="s">
        <v>2581</v>
      </c>
      <c r="AA231" s="178" t="str">
        <f t="shared" si="155"/>
        <v>X</v>
      </c>
      <c r="AB231" s="176">
        <f t="shared" si="156"/>
        <v>6.25</v>
      </c>
      <c r="AC231" s="178" t="str">
        <f t="shared" si="157"/>
        <v xml:space="preserve"> </v>
      </c>
      <c r="AD231" s="176">
        <f t="shared" si="158"/>
        <v>0</v>
      </c>
      <c r="AE231" s="178" t="str">
        <f t="shared" si="159"/>
        <v xml:space="preserve"> </v>
      </c>
      <c r="AF231" s="176">
        <f t="shared" si="160"/>
        <v>0</v>
      </c>
      <c r="AG231" s="178" t="str">
        <f t="shared" si="161"/>
        <v>X</v>
      </c>
      <c r="AH231" s="176">
        <f t="shared" si="162"/>
        <v>10.199999999999999</v>
      </c>
    </row>
    <row r="232" spans="2:34" ht="16.5" outlineLevel="1" x14ac:dyDescent="0.25">
      <c r="B232" s="175" t="s">
        <v>2669</v>
      </c>
      <c r="C232" s="176">
        <v>4.51</v>
      </c>
      <c r="D232" s="176">
        <v>8.5</v>
      </c>
      <c r="E232" s="194">
        <v>3</v>
      </c>
      <c r="F232" s="194">
        <v>0</v>
      </c>
      <c r="G232" s="194">
        <f t="shared" si="163"/>
        <v>3</v>
      </c>
      <c r="H232" s="176"/>
      <c r="I232" s="178" t="str">
        <f t="shared" si="144"/>
        <v>X</v>
      </c>
      <c r="J232" s="176">
        <f t="shared" si="145"/>
        <v>25.5</v>
      </c>
      <c r="K232" s="178" t="str">
        <f t="shared" si="146"/>
        <v xml:space="preserve"> </v>
      </c>
      <c r="L232" s="176">
        <f t="shared" si="147"/>
        <v>0</v>
      </c>
      <c r="M232" s="178" t="str">
        <f t="shared" si="148"/>
        <v>X</v>
      </c>
      <c r="N232" s="177">
        <f t="shared" si="149"/>
        <v>25.5</v>
      </c>
      <c r="O232" s="178" t="str">
        <f t="shared" si="150"/>
        <v xml:space="preserve"> </v>
      </c>
      <c r="P232" s="176">
        <f t="shared" si="151"/>
        <v>0</v>
      </c>
      <c r="Q232" s="178" t="s">
        <v>0</v>
      </c>
      <c r="R232" s="176"/>
      <c r="S232" s="178" t="s">
        <v>2579</v>
      </c>
      <c r="T232" s="178" t="str">
        <f t="shared" si="152"/>
        <v xml:space="preserve"> </v>
      </c>
      <c r="U232" s="176">
        <f t="shared" si="164"/>
        <v>0</v>
      </c>
      <c r="V232" s="178" t="str">
        <f t="shared" si="153"/>
        <v>X</v>
      </c>
      <c r="W232" s="176">
        <f t="shared" si="165"/>
        <v>25.5</v>
      </c>
      <c r="X232" s="178" t="str">
        <f t="shared" si="154"/>
        <v xml:space="preserve"> </v>
      </c>
      <c r="Y232" s="176">
        <f t="shared" si="166"/>
        <v>0</v>
      </c>
      <c r="Z232" s="178" t="s">
        <v>2581</v>
      </c>
      <c r="AA232" s="178" t="str">
        <f t="shared" si="155"/>
        <v>X</v>
      </c>
      <c r="AB232" s="176">
        <f t="shared" si="156"/>
        <v>4.51</v>
      </c>
      <c r="AC232" s="178" t="str">
        <f t="shared" si="157"/>
        <v xml:space="preserve"> </v>
      </c>
      <c r="AD232" s="176">
        <f t="shared" si="158"/>
        <v>0</v>
      </c>
      <c r="AE232" s="178" t="str">
        <f t="shared" si="159"/>
        <v xml:space="preserve"> </v>
      </c>
      <c r="AF232" s="176">
        <f t="shared" si="160"/>
        <v>0</v>
      </c>
      <c r="AG232" s="178" t="str">
        <f t="shared" si="161"/>
        <v>X</v>
      </c>
      <c r="AH232" s="176">
        <f t="shared" si="162"/>
        <v>8.5</v>
      </c>
    </row>
    <row r="233" spans="2:34" ht="16.5" outlineLevel="1" x14ac:dyDescent="0.25">
      <c r="B233" s="175" t="s">
        <v>2732</v>
      </c>
      <c r="C233" s="176">
        <v>2.13</v>
      </c>
      <c r="D233" s="176">
        <v>6.55</v>
      </c>
      <c r="E233" s="194">
        <v>3</v>
      </c>
      <c r="F233" s="194">
        <v>2.1</v>
      </c>
      <c r="G233" s="194">
        <f t="shared" si="163"/>
        <v>0.89999999999999991</v>
      </c>
      <c r="H233" s="176"/>
      <c r="I233" s="178" t="str">
        <f t="shared" si="144"/>
        <v>X</v>
      </c>
      <c r="J233" s="176">
        <f t="shared" si="145"/>
        <v>19.649999999999999</v>
      </c>
      <c r="K233" s="178" t="str">
        <f t="shared" si="146"/>
        <v>X</v>
      </c>
      <c r="L233" s="176">
        <f t="shared" si="147"/>
        <v>13.755000000000001</v>
      </c>
      <c r="M233" s="178" t="str">
        <f t="shared" si="148"/>
        <v>X</v>
      </c>
      <c r="N233" s="177">
        <f t="shared" si="149"/>
        <v>5.8949999999999978</v>
      </c>
      <c r="O233" s="178" t="str">
        <f t="shared" si="150"/>
        <v>X</v>
      </c>
      <c r="P233" s="176">
        <f t="shared" si="151"/>
        <v>13.755000000000001</v>
      </c>
      <c r="Q233" s="178" t="s">
        <v>0</v>
      </c>
      <c r="R233" s="176"/>
      <c r="S233" s="178" t="s">
        <v>2578</v>
      </c>
      <c r="T233" s="178" t="str">
        <f t="shared" si="152"/>
        <v>X</v>
      </c>
      <c r="U233" s="176">
        <f t="shared" si="164"/>
        <v>5.8949999999999978</v>
      </c>
      <c r="V233" s="178" t="str">
        <f t="shared" si="153"/>
        <v xml:space="preserve"> </v>
      </c>
      <c r="W233" s="176">
        <f t="shared" si="165"/>
        <v>0</v>
      </c>
      <c r="X233" s="178" t="str">
        <f t="shared" si="154"/>
        <v xml:space="preserve"> </v>
      </c>
      <c r="Y233" s="176">
        <f t="shared" si="166"/>
        <v>0</v>
      </c>
      <c r="Z233" s="178" t="s">
        <v>2581</v>
      </c>
      <c r="AA233" s="178" t="str">
        <f t="shared" si="155"/>
        <v>X</v>
      </c>
      <c r="AB233" s="176">
        <f t="shared" si="156"/>
        <v>2.13</v>
      </c>
      <c r="AC233" s="178" t="str">
        <f t="shared" si="157"/>
        <v xml:space="preserve"> </v>
      </c>
      <c r="AD233" s="176">
        <f t="shared" si="158"/>
        <v>0</v>
      </c>
      <c r="AE233" s="178" t="str">
        <f t="shared" si="159"/>
        <v xml:space="preserve"> </v>
      </c>
      <c r="AF233" s="176">
        <f t="shared" si="160"/>
        <v>0</v>
      </c>
      <c r="AG233" s="178" t="str">
        <f t="shared" si="161"/>
        <v/>
      </c>
      <c r="AH233" s="176">
        <f t="shared" si="162"/>
        <v>0</v>
      </c>
    </row>
    <row r="234" spans="2:34" ht="16.5" outlineLevel="1" x14ac:dyDescent="0.25">
      <c r="B234" s="175" t="s">
        <v>2733</v>
      </c>
      <c r="C234" s="176">
        <v>2.2000000000000002</v>
      </c>
      <c r="D234" s="176">
        <v>6.2</v>
      </c>
      <c r="E234" s="194">
        <v>3</v>
      </c>
      <c r="F234" s="194">
        <v>2.1</v>
      </c>
      <c r="G234" s="194">
        <f t="shared" si="163"/>
        <v>0.89999999999999991</v>
      </c>
      <c r="H234" s="176"/>
      <c r="I234" s="178" t="str">
        <f t="shared" si="144"/>
        <v>X</v>
      </c>
      <c r="J234" s="176">
        <f t="shared" si="145"/>
        <v>18.600000000000001</v>
      </c>
      <c r="K234" s="178" t="str">
        <f t="shared" si="146"/>
        <v>X</v>
      </c>
      <c r="L234" s="176">
        <f t="shared" si="147"/>
        <v>13.020000000000001</v>
      </c>
      <c r="M234" s="178" t="str">
        <f t="shared" si="148"/>
        <v>X</v>
      </c>
      <c r="N234" s="177">
        <f t="shared" si="149"/>
        <v>5.58</v>
      </c>
      <c r="O234" s="178" t="str">
        <f t="shared" si="150"/>
        <v>X</v>
      </c>
      <c r="P234" s="176">
        <f t="shared" si="151"/>
        <v>13.020000000000001</v>
      </c>
      <c r="Q234" s="178" t="s">
        <v>0</v>
      </c>
      <c r="R234" s="176"/>
      <c r="S234" s="178" t="s">
        <v>2578</v>
      </c>
      <c r="T234" s="178" t="str">
        <f t="shared" si="152"/>
        <v>X</v>
      </c>
      <c r="U234" s="176">
        <f t="shared" si="164"/>
        <v>5.58</v>
      </c>
      <c r="V234" s="178" t="str">
        <f t="shared" si="153"/>
        <v xml:space="preserve"> </v>
      </c>
      <c r="W234" s="176">
        <f t="shared" si="165"/>
        <v>0</v>
      </c>
      <c r="X234" s="178" t="str">
        <f t="shared" si="154"/>
        <v xml:space="preserve"> </v>
      </c>
      <c r="Y234" s="176">
        <f t="shared" si="166"/>
        <v>0</v>
      </c>
      <c r="Z234" s="178" t="s">
        <v>2581</v>
      </c>
      <c r="AA234" s="178" t="str">
        <f t="shared" si="155"/>
        <v>X</v>
      </c>
      <c r="AB234" s="176">
        <f t="shared" si="156"/>
        <v>2.2000000000000002</v>
      </c>
      <c r="AC234" s="178" t="str">
        <f t="shared" si="157"/>
        <v xml:space="preserve"> </v>
      </c>
      <c r="AD234" s="176">
        <f t="shared" si="158"/>
        <v>0</v>
      </c>
      <c r="AE234" s="178" t="str">
        <f t="shared" si="159"/>
        <v xml:space="preserve"> </v>
      </c>
      <c r="AF234" s="176">
        <f t="shared" si="160"/>
        <v>0</v>
      </c>
      <c r="AG234" s="178" t="str">
        <f t="shared" si="161"/>
        <v/>
      </c>
      <c r="AH234" s="176">
        <f t="shared" si="162"/>
        <v>0</v>
      </c>
    </row>
    <row r="235" spans="2:34" ht="16.5" outlineLevel="1" x14ac:dyDescent="0.25">
      <c r="B235" s="175" t="s">
        <v>2734</v>
      </c>
      <c r="C235" s="176">
        <v>12.71</v>
      </c>
      <c r="D235" s="176">
        <v>17.510000000000002</v>
      </c>
      <c r="E235" s="194">
        <v>3</v>
      </c>
      <c r="F235" s="194">
        <v>0</v>
      </c>
      <c r="G235" s="194">
        <f t="shared" si="163"/>
        <v>3</v>
      </c>
      <c r="H235" s="176"/>
      <c r="I235" s="178" t="str">
        <f t="shared" si="144"/>
        <v>X</v>
      </c>
      <c r="J235" s="176">
        <f t="shared" si="145"/>
        <v>52.53</v>
      </c>
      <c r="K235" s="178" t="str">
        <f t="shared" si="146"/>
        <v xml:space="preserve"> </v>
      </c>
      <c r="L235" s="176">
        <f t="shared" si="147"/>
        <v>0</v>
      </c>
      <c r="M235" s="178" t="str">
        <f t="shared" si="148"/>
        <v>X</v>
      </c>
      <c r="N235" s="177">
        <f t="shared" si="149"/>
        <v>52.53</v>
      </c>
      <c r="O235" s="178" t="str">
        <f t="shared" si="150"/>
        <v xml:space="preserve"> </v>
      </c>
      <c r="P235" s="176">
        <v>1</v>
      </c>
      <c r="Q235" s="178" t="s">
        <v>0</v>
      </c>
      <c r="R235" s="176"/>
      <c r="S235" s="178" t="s">
        <v>2578</v>
      </c>
      <c r="T235" s="178" t="str">
        <f t="shared" si="152"/>
        <v>X</v>
      </c>
      <c r="U235" s="176">
        <f t="shared" si="164"/>
        <v>52.53</v>
      </c>
      <c r="V235" s="178" t="str">
        <f t="shared" si="153"/>
        <v xml:space="preserve"> </v>
      </c>
      <c r="W235" s="176">
        <f t="shared" si="165"/>
        <v>0</v>
      </c>
      <c r="X235" s="178" t="str">
        <f t="shared" si="154"/>
        <v xml:space="preserve"> </v>
      </c>
      <c r="Y235" s="176">
        <f t="shared" si="166"/>
        <v>0</v>
      </c>
      <c r="Z235" s="178" t="s">
        <v>2582</v>
      </c>
      <c r="AA235" s="178" t="str">
        <f t="shared" si="155"/>
        <v xml:space="preserve"> </v>
      </c>
      <c r="AB235" s="176">
        <f t="shared" si="156"/>
        <v>0</v>
      </c>
      <c r="AC235" s="178" t="str">
        <f t="shared" si="157"/>
        <v>X</v>
      </c>
      <c r="AD235" s="176">
        <f t="shared" si="158"/>
        <v>12.71</v>
      </c>
      <c r="AE235" s="178" t="str">
        <f t="shared" si="159"/>
        <v xml:space="preserve"> </v>
      </c>
      <c r="AF235" s="176">
        <f t="shared" si="160"/>
        <v>0</v>
      </c>
      <c r="AG235" s="178" t="str">
        <f t="shared" si="161"/>
        <v>X</v>
      </c>
      <c r="AH235" s="176">
        <f t="shared" si="162"/>
        <v>17.510000000000002</v>
      </c>
    </row>
    <row r="236" spans="2:34" ht="16.5" outlineLevel="1" x14ac:dyDescent="0.25">
      <c r="B236" s="175" t="s">
        <v>2735</v>
      </c>
      <c r="C236" s="176">
        <v>7.51</v>
      </c>
      <c r="D236" s="176">
        <v>10.98</v>
      </c>
      <c r="E236" s="194">
        <v>3</v>
      </c>
      <c r="F236" s="194">
        <v>0</v>
      </c>
      <c r="G236" s="194">
        <f t="shared" si="163"/>
        <v>3</v>
      </c>
      <c r="H236" s="176"/>
      <c r="I236" s="178" t="str">
        <f t="shared" si="144"/>
        <v>X</v>
      </c>
      <c r="J236" s="176">
        <f t="shared" si="145"/>
        <v>32.94</v>
      </c>
      <c r="K236" s="178" t="str">
        <f t="shared" si="146"/>
        <v xml:space="preserve"> </v>
      </c>
      <c r="L236" s="176">
        <f t="shared" ref="L236:L247" si="167">IF(K236="X",($D236-H236)*F236,0)</f>
        <v>0</v>
      </c>
      <c r="M236" s="178" t="str">
        <f t="shared" si="148"/>
        <v>X</v>
      </c>
      <c r="N236" s="177">
        <f t="shared" si="149"/>
        <v>32.94</v>
      </c>
      <c r="O236" s="178" t="str">
        <f t="shared" si="150"/>
        <v xml:space="preserve"> </v>
      </c>
      <c r="P236" s="176">
        <f t="shared" si="151"/>
        <v>0</v>
      </c>
      <c r="Q236" s="178" t="s">
        <v>0</v>
      </c>
      <c r="R236" s="176"/>
      <c r="S236" s="178" t="s">
        <v>2578</v>
      </c>
      <c r="T236" s="178" t="str">
        <f t="shared" si="152"/>
        <v>X</v>
      </c>
      <c r="U236" s="176">
        <f t="shared" si="164"/>
        <v>32.94</v>
      </c>
      <c r="V236" s="178" t="str">
        <f t="shared" si="153"/>
        <v xml:space="preserve"> </v>
      </c>
      <c r="W236" s="176">
        <f t="shared" si="165"/>
        <v>0</v>
      </c>
      <c r="X236" s="178" t="str">
        <f t="shared" si="154"/>
        <v xml:space="preserve"> </v>
      </c>
      <c r="Y236" s="176">
        <f t="shared" si="166"/>
        <v>0</v>
      </c>
      <c r="Z236" s="178" t="s">
        <v>2581</v>
      </c>
      <c r="AA236" s="178" t="str">
        <f t="shared" si="155"/>
        <v>X</v>
      </c>
      <c r="AB236" s="176">
        <f t="shared" si="156"/>
        <v>7.51</v>
      </c>
      <c r="AC236" s="178" t="str">
        <f t="shared" si="157"/>
        <v xml:space="preserve"> </v>
      </c>
      <c r="AD236" s="176">
        <f t="shared" si="158"/>
        <v>0</v>
      </c>
      <c r="AE236" s="178" t="str">
        <f t="shared" si="159"/>
        <v xml:space="preserve"> </v>
      </c>
      <c r="AF236" s="176">
        <f t="shared" si="160"/>
        <v>0</v>
      </c>
      <c r="AG236" s="178" t="str">
        <f t="shared" si="161"/>
        <v>X</v>
      </c>
      <c r="AH236" s="176">
        <f t="shared" si="162"/>
        <v>10.98</v>
      </c>
    </row>
    <row r="237" spans="2:34" ht="16.5" outlineLevel="1" x14ac:dyDescent="0.25">
      <c r="B237" s="175" t="s">
        <v>2736</v>
      </c>
      <c r="C237" s="176">
        <v>7.53</v>
      </c>
      <c r="D237" s="176">
        <v>10.99</v>
      </c>
      <c r="E237" s="194">
        <v>3</v>
      </c>
      <c r="F237" s="194">
        <v>0</v>
      </c>
      <c r="G237" s="194">
        <f t="shared" si="163"/>
        <v>3</v>
      </c>
      <c r="H237" s="176"/>
      <c r="I237" s="178" t="str">
        <f t="shared" si="144"/>
        <v>X</v>
      </c>
      <c r="J237" s="176">
        <f t="shared" si="145"/>
        <v>32.97</v>
      </c>
      <c r="K237" s="178" t="str">
        <f t="shared" si="146"/>
        <v xml:space="preserve"> </v>
      </c>
      <c r="L237" s="176">
        <f t="shared" si="167"/>
        <v>0</v>
      </c>
      <c r="M237" s="178" t="str">
        <f t="shared" si="148"/>
        <v>X</v>
      </c>
      <c r="N237" s="177">
        <f t="shared" si="149"/>
        <v>32.97</v>
      </c>
      <c r="O237" s="178" t="str">
        <f t="shared" si="150"/>
        <v xml:space="preserve"> </v>
      </c>
      <c r="P237" s="176">
        <f t="shared" si="151"/>
        <v>0</v>
      </c>
      <c r="Q237" s="178" t="s">
        <v>0</v>
      </c>
      <c r="R237" s="176"/>
      <c r="S237" s="178" t="s">
        <v>2578</v>
      </c>
      <c r="T237" s="178" t="str">
        <f t="shared" si="152"/>
        <v>X</v>
      </c>
      <c r="U237" s="176">
        <f t="shared" si="164"/>
        <v>32.97</v>
      </c>
      <c r="V237" s="178" t="str">
        <f t="shared" si="153"/>
        <v xml:space="preserve"> </v>
      </c>
      <c r="W237" s="176">
        <f t="shared" si="165"/>
        <v>0</v>
      </c>
      <c r="X237" s="178" t="str">
        <f t="shared" si="154"/>
        <v xml:space="preserve"> </v>
      </c>
      <c r="Y237" s="176">
        <f t="shared" si="166"/>
        <v>0</v>
      </c>
      <c r="Z237" s="178" t="s">
        <v>2581</v>
      </c>
      <c r="AA237" s="178" t="str">
        <f t="shared" si="155"/>
        <v>X</v>
      </c>
      <c r="AB237" s="176">
        <f t="shared" si="156"/>
        <v>7.53</v>
      </c>
      <c r="AC237" s="178" t="str">
        <f t="shared" si="157"/>
        <v xml:space="preserve"> </v>
      </c>
      <c r="AD237" s="176">
        <f t="shared" si="158"/>
        <v>0</v>
      </c>
      <c r="AE237" s="178" t="str">
        <f t="shared" si="159"/>
        <v xml:space="preserve"> </v>
      </c>
      <c r="AF237" s="176">
        <f t="shared" si="160"/>
        <v>0</v>
      </c>
      <c r="AG237" s="178" t="str">
        <f t="shared" si="161"/>
        <v>X</v>
      </c>
      <c r="AH237" s="176">
        <f t="shared" si="162"/>
        <v>10.99</v>
      </c>
    </row>
    <row r="238" spans="2:34" ht="16.5" outlineLevel="1" x14ac:dyDescent="0.25">
      <c r="B238" s="175" t="s">
        <v>2594</v>
      </c>
      <c r="C238" s="176">
        <v>19.38</v>
      </c>
      <c r="D238" s="176">
        <v>24.19</v>
      </c>
      <c r="E238" s="194">
        <v>3</v>
      </c>
      <c r="F238" s="194">
        <v>0</v>
      </c>
      <c r="G238" s="194">
        <f t="shared" si="163"/>
        <v>3</v>
      </c>
      <c r="H238" s="176"/>
      <c r="I238" s="178" t="str">
        <f t="shared" si="144"/>
        <v>X</v>
      </c>
      <c r="J238" s="176">
        <f t="shared" si="145"/>
        <v>72.570000000000007</v>
      </c>
      <c r="K238" s="178" t="str">
        <f t="shared" si="146"/>
        <v xml:space="preserve"> </v>
      </c>
      <c r="L238" s="176">
        <f t="shared" si="167"/>
        <v>0</v>
      </c>
      <c r="M238" s="178" t="str">
        <f t="shared" si="148"/>
        <v>X</v>
      </c>
      <c r="N238" s="177">
        <f t="shared" si="149"/>
        <v>72.570000000000007</v>
      </c>
      <c r="O238" s="178" t="str">
        <f t="shared" si="150"/>
        <v xml:space="preserve"> </v>
      </c>
      <c r="P238" s="176">
        <f t="shared" si="151"/>
        <v>0</v>
      </c>
      <c r="Q238" s="178" t="s">
        <v>0</v>
      </c>
      <c r="R238" s="176"/>
      <c r="S238" s="178" t="s">
        <v>2578</v>
      </c>
      <c r="T238" s="178" t="str">
        <f t="shared" si="152"/>
        <v>X</v>
      </c>
      <c r="U238" s="176">
        <f t="shared" si="164"/>
        <v>72.570000000000007</v>
      </c>
      <c r="V238" s="178" t="str">
        <f t="shared" si="153"/>
        <v xml:space="preserve"> </v>
      </c>
      <c r="W238" s="176">
        <f t="shared" si="165"/>
        <v>0</v>
      </c>
      <c r="X238" s="178" t="str">
        <f t="shared" si="154"/>
        <v xml:space="preserve"> </v>
      </c>
      <c r="Y238" s="176">
        <f t="shared" si="166"/>
        <v>0</v>
      </c>
      <c r="Z238" s="178" t="s">
        <v>2582</v>
      </c>
      <c r="AA238" s="178" t="str">
        <f t="shared" si="155"/>
        <v xml:space="preserve"> </v>
      </c>
      <c r="AB238" s="176">
        <f t="shared" si="156"/>
        <v>0</v>
      </c>
      <c r="AC238" s="178" t="str">
        <f t="shared" si="157"/>
        <v>X</v>
      </c>
      <c r="AD238" s="176">
        <f t="shared" si="158"/>
        <v>19.38</v>
      </c>
      <c r="AE238" s="178" t="str">
        <f t="shared" si="159"/>
        <v xml:space="preserve"> </v>
      </c>
      <c r="AF238" s="176">
        <f t="shared" si="160"/>
        <v>0</v>
      </c>
      <c r="AG238" s="178" t="str">
        <f t="shared" si="161"/>
        <v>X</v>
      </c>
      <c r="AH238" s="176">
        <f t="shared" si="162"/>
        <v>24.19</v>
      </c>
    </row>
    <row r="239" spans="2:34" ht="16.5" outlineLevel="1" x14ac:dyDescent="0.25">
      <c r="B239" s="175" t="s">
        <v>2591</v>
      </c>
      <c r="C239" s="176">
        <v>2.64</v>
      </c>
      <c r="D239" s="176">
        <v>6.53</v>
      </c>
      <c r="E239" s="194">
        <v>3</v>
      </c>
      <c r="F239" s="194">
        <v>2.1</v>
      </c>
      <c r="G239" s="194">
        <f t="shared" si="163"/>
        <v>0.89999999999999991</v>
      </c>
      <c r="H239" s="176"/>
      <c r="I239" s="178" t="str">
        <f t="shared" si="144"/>
        <v>X</v>
      </c>
      <c r="J239" s="176">
        <f t="shared" si="145"/>
        <v>19.59</v>
      </c>
      <c r="K239" s="178" t="str">
        <f t="shared" si="146"/>
        <v>X</v>
      </c>
      <c r="L239" s="176">
        <f t="shared" si="167"/>
        <v>13.713000000000001</v>
      </c>
      <c r="M239" s="178" t="str">
        <f t="shared" si="148"/>
        <v>X</v>
      </c>
      <c r="N239" s="177">
        <f t="shared" si="149"/>
        <v>5.8769999999999989</v>
      </c>
      <c r="O239" s="178" t="str">
        <f t="shared" si="150"/>
        <v>X</v>
      </c>
      <c r="P239" s="176">
        <f t="shared" si="151"/>
        <v>13.713000000000001</v>
      </c>
      <c r="Q239" s="178" t="s">
        <v>0</v>
      </c>
      <c r="R239" s="176"/>
      <c r="S239" s="178" t="s">
        <v>2578</v>
      </c>
      <c r="T239" s="178" t="str">
        <f t="shared" si="152"/>
        <v>X</v>
      </c>
      <c r="U239" s="176">
        <f t="shared" si="164"/>
        <v>5.8769999999999989</v>
      </c>
      <c r="V239" s="178" t="str">
        <f t="shared" si="153"/>
        <v xml:space="preserve"> </v>
      </c>
      <c r="W239" s="176">
        <f t="shared" si="165"/>
        <v>0</v>
      </c>
      <c r="X239" s="178" t="str">
        <f t="shared" si="154"/>
        <v xml:space="preserve"> </v>
      </c>
      <c r="Y239" s="176">
        <f t="shared" si="166"/>
        <v>0</v>
      </c>
      <c r="Z239" s="178" t="s">
        <v>2581</v>
      </c>
      <c r="AA239" s="178" t="str">
        <f t="shared" si="155"/>
        <v>X</v>
      </c>
      <c r="AB239" s="176">
        <f t="shared" si="156"/>
        <v>2.64</v>
      </c>
      <c r="AC239" s="178" t="str">
        <f t="shared" si="157"/>
        <v xml:space="preserve"> </v>
      </c>
      <c r="AD239" s="176">
        <f t="shared" si="158"/>
        <v>0</v>
      </c>
      <c r="AE239" s="178" t="str">
        <f t="shared" si="159"/>
        <v xml:space="preserve"> </v>
      </c>
      <c r="AF239" s="176">
        <f t="shared" si="160"/>
        <v>0</v>
      </c>
      <c r="AG239" s="178" t="str">
        <f t="shared" si="161"/>
        <v/>
      </c>
      <c r="AH239" s="176">
        <f t="shared" si="162"/>
        <v>0</v>
      </c>
    </row>
    <row r="240" spans="2:34" ht="16.5" outlineLevel="1" x14ac:dyDescent="0.25">
      <c r="B240" s="175" t="s">
        <v>2737</v>
      </c>
      <c r="C240" s="176">
        <v>3.28</v>
      </c>
      <c r="D240" s="176">
        <v>7.42</v>
      </c>
      <c r="E240" s="194">
        <v>3</v>
      </c>
      <c r="F240" s="194">
        <v>0</v>
      </c>
      <c r="G240" s="194">
        <f t="shared" si="163"/>
        <v>3</v>
      </c>
      <c r="H240" s="176"/>
      <c r="I240" s="178" t="str">
        <f t="shared" si="144"/>
        <v>X</v>
      </c>
      <c r="J240" s="176">
        <f t="shared" si="145"/>
        <v>22.259999999999998</v>
      </c>
      <c r="K240" s="178" t="str">
        <f t="shared" si="146"/>
        <v xml:space="preserve"> </v>
      </c>
      <c r="L240" s="176">
        <f t="shared" si="167"/>
        <v>0</v>
      </c>
      <c r="M240" s="178" t="str">
        <f t="shared" si="148"/>
        <v>X</v>
      </c>
      <c r="N240" s="177">
        <f t="shared" si="149"/>
        <v>22.259999999999998</v>
      </c>
      <c r="O240" s="178" t="str">
        <f t="shared" si="150"/>
        <v xml:space="preserve"> </v>
      </c>
      <c r="P240" s="176">
        <f t="shared" si="151"/>
        <v>0</v>
      </c>
      <c r="Q240" s="178" t="s">
        <v>0</v>
      </c>
      <c r="R240" s="176"/>
      <c r="S240" s="178" t="s">
        <v>2578</v>
      </c>
      <c r="T240" s="178" t="str">
        <f t="shared" si="152"/>
        <v>X</v>
      </c>
      <c r="U240" s="176">
        <f t="shared" si="164"/>
        <v>22.259999999999998</v>
      </c>
      <c r="V240" s="178" t="str">
        <f t="shared" si="153"/>
        <v xml:space="preserve"> </v>
      </c>
      <c r="W240" s="176">
        <f t="shared" si="165"/>
        <v>0</v>
      </c>
      <c r="X240" s="178" t="str">
        <f t="shared" si="154"/>
        <v xml:space="preserve"> </v>
      </c>
      <c r="Y240" s="176">
        <f t="shared" si="166"/>
        <v>0</v>
      </c>
      <c r="Z240" s="178" t="s">
        <v>2582</v>
      </c>
      <c r="AA240" s="178" t="str">
        <f t="shared" si="155"/>
        <v xml:space="preserve"> </v>
      </c>
      <c r="AB240" s="176">
        <f t="shared" si="156"/>
        <v>0</v>
      </c>
      <c r="AC240" s="178" t="str">
        <f t="shared" si="157"/>
        <v>X</v>
      </c>
      <c r="AD240" s="176">
        <f t="shared" si="158"/>
        <v>3.28</v>
      </c>
      <c r="AE240" s="178" t="str">
        <f t="shared" si="159"/>
        <v xml:space="preserve"> </v>
      </c>
      <c r="AF240" s="176">
        <f t="shared" si="160"/>
        <v>0</v>
      </c>
      <c r="AG240" s="178" t="str">
        <f t="shared" si="161"/>
        <v>X</v>
      </c>
      <c r="AH240" s="176">
        <f t="shared" si="162"/>
        <v>7.42</v>
      </c>
    </row>
    <row r="241" spans="2:34" ht="16.5" outlineLevel="1" x14ac:dyDescent="0.25">
      <c r="B241" s="175" t="s">
        <v>2738</v>
      </c>
      <c r="C241" s="176">
        <v>9.24</v>
      </c>
      <c r="D241" s="176">
        <v>12.8</v>
      </c>
      <c r="E241" s="194">
        <v>3</v>
      </c>
      <c r="F241" s="194">
        <v>2.1</v>
      </c>
      <c r="G241" s="194">
        <f t="shared" si="163"/>
        <v>0.89999999999999991</v>
      </c>
      <c r="H241" s="176"/>
      <c r="I241" s="178" t="str">
        <f t="shared" si="144"/>
        <v>X</v>
      </c>
      <c r="J241" s="176">
        <f t="shared" si="145"/>
        <v>38.400000000000006</v>
      </c>
      <c r="K241" s="178" t="str">
        <f t="shared" si="146"/>
        <v>X</v>
      </c>
      <c r="L241" s="176">
        <f t="shared" si="167"/>
        <v>26.880000000000003</v>
      </c>
      <c r="M241" s="178" t="str">
        <f t="shared" si="148"/>
        <v>X</v>
      </c>
      <c r="N241" s="177">
        <f t="shared" si="149"/>
        <v>11.520000000000003</v>
      </c>
      <c r="O241" s="178" t="str">
        <f t="shared" si="150"/>
        <v>X</v>
      </c>
      <c r="P241" s="176">
        <f t="shared" si="151"/>
        <v>26.880000000000003</v>
      </c>
      <c r="Q241" s="178" t="s">
        <v>0</v>
      </c>
      <c r="R241" s="176"/>
      <c r="S241" s="178" t="s">
        <v>2578</v>
      </c>
      <c r="T241" s="178" t="str">
        <f t="shared" si="152"/>
        <v>X</v>
      </c>
      <c r="U241" s="176">
        <f t="shared" si="164"/>
        <v>11.520000000000003</v>
      </c>
      <c r="V241" s="178" t="str">
        <f t="shared" si="153"/>
        <v xml:space="preserve"> </v>
      </c>
      <c r="W241" s="176">
        <f t="shared" si="165"/>
        <v>0</v>
      </c>
      <c r="X241" s="178" t="str">
        <f t="shared" si="154"/>
        <v xml:space="preserve"> </v>
      </c>
      <c r="Y241" s="176">
        <f t="shared" si="166"/>
        <v>0</v>
      </c>
      <c r="Z241" s="178" t="s">
        <v>2581</v>
      </c>
      <c r="AA241" s="178" t="str">
        <f t="shared" si="155"/>
        <v>X</v>
      </c>
      <c r="AB241" s="176">
        <f t="shared" si="156"/>
        <v>9.24</v>
      </c>
      <c r="AC241" s="178" t="str">
        <f t="shared" si="157"/>
        <v xml:space="preserve"> </v>
      </c>
      <c r="AD241" s="176">
        <f t="shared" si="158"/>
        <v>0</v>
      </c>
      <c r="AE241" s="178" t="str">
        <f t="shared" si="159"/>
        <v xml:space="preserve"> </v>
      </c>
      <c r="AF241" s="176">
        <f t="shared" si="160"/>
        <v>0</v>
      </c>
      <c r="AG241" s="178" t="str">
        <f t="shared" si="161"/>
        <v/>
      </c>
      <c r="AH241" s="176">
        <f t="shared" si="162"/>
        <v>0</v>
      </c>
    </row>
    <row r="242" spans="2:34" ht="16.5" outlineLevel="1" x14ac:dyDescent="0.25">
      <c r="B242" s="175" t="s">
        <v>2739</v>
      </c>
      <c r="C242" s="176">
        <v>9.24</v>
      </c>
      <c r="D242" s="176">
        <v>12.8</v>
      </c>
      <c r="E242" s="194">
        <v>3</v>
      </c>
      <c r="F242" s="194">
        <v>2.1</v>
      </c>
      <c r="G242" s="194">
        <f t="shared" si="163"/>
        <v>0.89999999999999991</v>
      </c>
      <c r="H242" s="176"/>
      <c r="I242" s="178" t="str">
        <f t="shared" si="144"/>
        <v>X</v>
      </c>
      <c r="J242" s="176">
        <f t="shared" si="145"/>
        <v>38.400000000000006</v>
      </c>
      <c r="K242" s="178" t="str">
        <f t="shared" si="146"/>
        <v>X</v>
      </c>
      <c r="L242" s="176">
        <f t="shared" si="167"/>
        <v>26.880000000000003</v>
      </c>
      <c r="M242" s="178" t="str">
        <f t="shared" si="148"/>
        <v>X</v>
      </c>
      <c r="N242" s="177">
        <f t="shared" si="149"/>
        <v>11.520000000000003</v>
      </c>
      <c r="O242" s="178" t="str">
        <f t="shared" si="150"/>
        <v>X</v>
      </c>
      <c r="P242" s="176">
        <f t="shared" si="151"/>
        <v>26.880000000000003</v>
      </c>
      <c r="Q242" s="178" t="s">
        <v>0</v>
      </c>
      <c r="R242" s="176"/>
      <c r="S242" s="178" t="s">
        <v>2578</v>
      </c>
      <c r="T242" s="178" t="str">
        <f t="shared" si="152"/>
        <v>X</v>
      </c>
      <c r="U242" s="176">
        <f t="shared" si="164"/>
        <v>11.520000000000003</v>
      </c>
      <c r="V242" s="178" t="str">
        <f t="shared" si="153"/>
        <v xml:space="preserve"> </v>
      </c>
      <c r="W242" s="176">
        <f t="shared" si="165"/>
        <v>0</v>
      </c>
      <c r="X242" s="178" t="str">
        <f t="shared" si="154"/>
        <v xml:space="preserve"> </v>
      </c>
      <c r="Y242" s="176">
        <f t="shared" si="166"/>
        <v>0</v>
      </c>
      <c r="Z242" s="178" t="s">
        <v>2581</v>
      </c>
      <c r="AA242" s="178" t="str">
        <f t="shared" si="155"/>
        <v>X</v>
      </c>
      <c r="AB242" s="176">
        <f t="shared" si="156"/>
        <v>9.24</v>
      </c>
      <c r="AC242" s="178" t="str">
        <f t="shared" si="157"/>
        <v xml:space="preserve"> </v>
      </c>
      <c r="AD242" s="176">
        <f t="shared" si="158"/>
        <v>0</v>
      </c>
      <c r="AE242" s="178" t="str">
        <f t="shared" si="159"/>
        <v xml:space="preserve"> </v>
      </c>
      <c r="AF242" s="176">
        <f t="shared" si="160"/>
        <v>0</v>
      </c>
      <c r="AG242" s="178" t="str">
        <f t="shared" si="161"/>
        <v/>
      </c>
      <c r="AH242" s="176">
        <f t="shared" si="162"/>
        <v>0</v>
      </c>
    </row>
    <row r="243" spans="2:34" ht="16.5" outlineLevel="1" x14ac:dyDescent="0.25">
      <c r="B243" s="175" t="s">
        <v>2611</v>
      </c>
      <c r="C243" s="176">
        <v>4.12</v>
      </c>
      <c r="D243" s="176">
        <v>8.15</v>
      </c>
      <c r="E243" s="194">
        <v>3</v>
      </c>
      <c r="F243" s="194">
        <v>0</v>
      </c>
      <c r="G243" s="194">
        <f t="shared" si="163"/>
        <v>3</v>
      </c>
      <c r="H243" s="176"/>
      <c r="I243" s="178" t="str">
        <f t="shared" si="144"/>
        <v>X</v>
      </c>
      <c r="J243" s="176">
        <f t="shared" si="145"/>
        <v>24.450000000000003</v>
      </c>
      <c r="K243" s="178" t="str">
        <f t="shared" si="146"/>
        <v xml:space="preserve"> </v>
      </c>
      <c r="L243" s="176">
        <f t="shared" si="167"/>
        <v>0</v>
      </c>
      <c r="M243" s="178" t="str">
        <f t="shared" si="148"/>
        <v>X</v>
      </c>
      <c r="N243" s="177">
        <f t="shared" si="149"/>
        <v>24.450000000000003</v>
      </c>
      <c r="O243" s="178" t="str">
        <f t="shared" si="150"/>
        <v xml:space="preserve"> </v>
      </c>
      <c r="P243" s="176">
        <f t="shared" si="151"/>
        <v>0</v>
      </c>
      <c r="Q243" s="178" t="s">
        <v>0</v>
      </c>
      <c r="R243" s="176"/>
      <c r="S243" s="178" t="s">
        <v>2578</v>
      </c>
      <c r="T243" s="178" t="str">
        <f t="shared" si="152"/>
        <v>X</v>
      </c>
      <c r="U243" s="176">
        <f t="shared" si="164"/>
        <v>24.450000000000003</v>
      </c>
      <c r="V243" s="178" t="str">
        <f t="shared" si="153"/>
        <v xml:space="preserve"> </v>
      </c>
      <c r="W243" s="176">
        <f t="shared" si="165"/>
        <v>0</v>
      </c>
      <c r="X243" s="178" t="str">
        <f t="shared" si="154"/>
        <v xml:space="preserve"> </v>
      </c>
      <c r="Y243" s="176">
        <f t="shared" si="166"/>
        <v>0</v>
      </c>
      <c r="Z243" s="178" t="s">
        <v>2581</v>
      </c>
      <c r="AA243" s="178" t="str">
        <f t="shared" si="155"/>
        <v>X</v>
      </c>
      <c r="AB243" s="176">
        <f t="shared" si="156"/>
        <v>4.12</v>
      </c>
      <c r="AC243" s="178" t="str">
        <f t="shared" si="157"/>
        <v xml:space="preserve"> </v>
      </c>
      <c r="AD243" s="176">
        <f t="shared" si="158"/>
        <v>0</v>
      </c>
      <c r="AE243" s="178" t="str">
        <f t="shared" si="159"/>
        <v xml:space="preserve"> </v>
      </c>
      <c r="AF243" s="176">
        <f t="shared" si="160"/>
        <v>0</v>
      </c>
      <c r="AG243" s="178" t="str">
        <f t="shared" si="161"/>
        <v>X</v>
      </c>
      <c r="AH243" s="176">
        <f t="shared" si="162"/>
        <v>8.15</v>
      </c>
    </row>
    <row r="244" spans="2:34" ht="16.5" outlineLevel="1" x14ac:dyDescent="0.25">
      <c r="B244" s="175" t="s">
        <v>2740</v>
      </c>
      <c r="C244" s="176">
        <v>8.4499999999999993</v>
      </c>
      <c r="D244" s="176">
        <v>12.14</v>
      </c>
      <c r="E244" s="194">
        <v>3</v>
      </c>
      <c r="F244" s="194">
        <v>0</v>
      </c>
      <c r="G244" s="194">
        <f t="shared" si="163"/>
        <v>3</v>
      </c>
      <c r="H244" s="176"/>
      <c r="I244" s="178" t="str">
        <f t="shared" si="144"/>
        <v>X</v>
      </c>
      <c r="J244" s="176">
        <f t="shared" si="145"/>
        <v>36.42</v>
      </c>
      <c r="K244" s="178" t="str">
        <f t="shared" si="146"/>
        <v xml:space="preserve"> </v>
      </c>
      <c r="L244" s="176">
        <f t="shared" si="167"/>
        <v>0</v>
      </c>
      <c r="M244" s="178" t="str">
        <f t="shared" si="148"/>
        <v>X</v>
      </c>
      <c r="N244" s="177">
        <f t="shared" si="149"/>
        <v>36.42</v>
      </c>
      <c r="O244" s="178" t="str">
        <f t="shared" si="150"/>
        <v xml:space="preserve"> </v>
      </c>
      <c r="P244" s="176">
        <f t="shared" si="151"/>
        <v>0</v>
      </c>
      <c r="Q244" s="178" t="s">
        <v>0</v>
      </c>
      <c r="R244" s="176"/>
      <c r="S244" s="178" t="s">
        <v>2578</v>
      </c>
      <c r="T244" s="178" t="str">
        <f t="shared" si="152"/>
        <v>X</v>
      </c>
      <c r="U244" s="176">
        <f t="shared" si="164"/>
        <v>36.42</v>
      </c>
      <c r="V244" s="178" t="str">
        <f t="shared" si="153"/>
        <v xml:space="preserve"> </v>
      </c>
      <c r="W244" s="176">
        <f t="shared" si="165"/>
        <v>0</v>
      </c>
      <c r="X244" s="178" t="str">
        <f t="shared" si="154"/>
        <v xml:space="preserve"> </v>
      </c>
      <c r="Y244" s="176">
        <f t="shared" si="166"/>
        <v>0</v>
      </c>
      <c r="Z244" s="178" t="s">
        <v>2581</v>
      </c>
      <c r="AA244" s="178" t="str">
        <f t="shared" si="155"/>
        <v>X</v>
      </c>
      <c r="AB244" s="176">
        <f t="shared" si="156"/>
        <v>8.4499999999999993</v>
      </c>
      <c r="AC244" s="178" t="str">
        <f t="shared" si="157"/>
        <v xml:space="preserve"> </v>
      </c>
      <c r="AD244" s="176">
        <f t="shared" si="158"/>
        <v>0</v>
      </c>
      <c r="AE244" s="178" t="str">
        <f t="shared" si="159"/>
        <v xml:space="preserve"> </v>
      </c>
      <c r="AF244" s="176">
        <f t="shared" si="160"/>
        <v>0</v>
      </c>
      <c r="AG244" s="178" t="str">
        <f t="shared" si="161"/>
        <v>X</v>
      </c>
      <c r="AH244" s="176">
        <f t="shared" si="162"/>
        <v>12.14</v>
      </c>
    </row>
    <row r="245" spans="2:34" ht="16.5" outlineLevel="1" x14ac:dyDescent="0.25">
      <c r="B245" s="175" t="s">
        <v>2741</v>
      </c>
      <c r="C245" s="176">
        <v>6.93</v>
      </c>
      <c r="D245" s="176">
        <v>10.78</v>
      </c>
      <c r="E245" s="194">
        <v>3</v>
      </c>
      <c r="F245" s="194">
        <v>0</v>
      </c>
      <c r="G245" s="194">
        <f t="shared" si="163"/>
        <v>3</v>
      </c>
      <c r="H245" s="176"/>
      <c r="I245" s="178" t="str">
        <f t="shared" si="144"/>
        <v>X</v>
      </c>
      <c r="J245" s="176">
        <f t="shared" si="145"/>
        <v>32.339999999999996</v>
      </c>
      <c r="K245" s="178" t="str">
        <f t="shared" si="146"/>
        <v xml:space="preserve"> </v>
      </c>
      <c r="L245" s="176">
        <f t="shared" si="167"/>
        <v>0</v>
      </c>
      <c r="M245" s="178" t="str">
        <f t="shared" si="148"/>
        <v>X</v>
      </c>
      <c r="N245" s="177">
        <f t="shared" si="149"/>
        <v>32.339999999999996</v>
      </c>
      <c r="O245" s="178" t="str">
        <f t="shared" si="150"/>
        <v xml:space="preserve"> </v>
      </c>
      <c r="P245" s="176">
        <f t="shared" si="151"/>
        <v>0</v>
      </c>
      <c r="Q245" s="178" t="s">
        <v>0</v>
      </c>
      <c r="R245" s="176"/>
      <c r="S245" s="178" t="s">
        <v>2578</v>
      </c>
      <c r="T245" s="178" t="str">
        <f t="shared" si="152"/>
        <v>X</v>
      </c>
      <c r="U245" s="176">
        <f t="shared" si="164"/>
        <v>32.339999999999996</v>
      </c>
      <c r="V245" s="178" t="str">
        <f t="shared" si="153"/>
        <v xml:space="preserve"> </v>
      </c>
      <c r="W245" s="176">
        <f t="shared" si="165"/>
        <v>0</v>
      </c>
      <c r="X245" s="178" t="str">
        <f t="shared" si="154"/>
        <v xml:space="preserve"> </v>
      </c>
      <c r="Y245" s="176">
        <f t="shared" si="166"/>
        <v>0</v>
      </c>
      <c r="Z245" s="178" t="s">
        <v>2581</v>
      </c>
      <c r="AA245" s="178" t="str">
        <f t="shared" si="155"/>
        <v>X</v>
      </c>
      <c r="AB245" s="176">
        <f t="shared" si="156"/>
        <v>6.93</v>
      </c>
      <c r="AC245" s="178" t="str">
        <f t="shared" si="157"/>
        <v xml:space="preserve"> </v>
      </c>
      <c r="AD245" s="176">
        <f t="shared" si="158"/>
        <v>0</v>
      </c>
      <c r="AE245" s="178" t="str">
        <f t="shared" si="159"/>
        <v xml:space="preserve"> </v>
      </c>
      <c r="AF245" s="176">
        <f t="shared" si="160"/>
        <v>0</v>
      </c>
      <c r="AG245" s="178" t="str">
        <f t="shared" si="161"/>
        <v>X</v>
      </c>
      <c r="AH245" s="176">
        <f t="shared" si="162"/>
        <v>10.78</v>
      </c>
    </row>
    <row r="246" spans="2:34" ht="16.5" outlineLevel="1" x14ac:dyDescent="0.25">
      <c r="B246" s="175" t="s">
        <v>2591</v>
      </c>
      <c r="C246" s="176">
        <v>2.63</v>
      </c>
      <c r="D246" s="176">
        <v>6.79</v>
      </c>
      <c r="E246" s="194">
        <v>3</v>
      </c>
      <c r="F246" s="194">
        <v>2.1</v>
      </c>
      <c r="G246" s="194">
        <f t="shared" si="163"/>
        <v>0.89999999999999991</v>
      </c>
      <c r="H246" s="176"/>
      <c r="I246" s="178" t="str">
        <f t="shared" si="144"/>
        <v>X</v>
      </c>
      <c r="J246" s="176">
        <f t="shared" si="145"/>
        <v>20.37</v>
      </c>
      <c r="K246" s="178" t="str">
        <f t="shared" si="146"/>
        <v>X</v>
      </c>
      <c r="L246" s="176">
        <f t="shared" si="167"/>
        <v>14.259</v>
      </c>
      <c r="M246" s="178" t="str">
        <f t="shared" si="148"/>
        <v>X</v>
      </c>
      <c r="N246" s="177">
        <f t="shared" si="149"/>
        <v>6.1110000000000007</v>
      </c>
      <c r="O246" s="178" t="str">
        <f t="shared" si="150"/>
        <v>X</v>
      </c>
      <c r="P246" s="176">
        <f t="shared" si="151"/>
        <v>14.259</v>
      </c>
      <c r="Q246" s="178" t="s">
        <v>0</v>
      </c>
      <c r="R246" s="176"/>
      <c r="S246" s="178" t="s">
        <v>2578</v>
      </c>
      <c r="T246" s="178" t="str">
        <f t="shared" si="152"/>
        <v>X</v>
      </c>
      <c r="U246" s="176">
        <f t="shared" si="164"/>
        <v>6.1110000000000007</v>
      </c>
      <c r="V246" s="178" t="str">
        <f t="shared" si="153"/>
        <v xml:space="preserve"> </v>
      </c>
      <c r="W246" s="176">
        <f t="shared" si="165"/>
        <v>0</v>
      </c>
      <c r="X246" s="178" t="str">
        <f t="shared" si="154"/>
        <v xml:space="preserve"> </v>
      </c>
      <c r="Y246" s="176">
        <f t="shared" si="166"/>
        <v>0</v>
      </c>
      <c r="Z246" s="178" t="s">
        <v>2581</v>
      </c>
      <c r="AA246" s="178" t="str">
        <f t="shared" si="155"/>
        <v>X</v>
      </c>
      <c r="AB246" s="176">
        <f t="shared" si="156"/>
        <v>2.63</v>
      </c>
      <c r="AC246" s="178" t="str">
        <f t="shared" si="157"/>
        <v xml:space="preserve"> </v>
      </c>
      <c r="AD246" s="176">
        <f t="shared" si="158"/>
        <v>0</v>
      </c>
      <c r="AE246" s="178" t="str">
        <f t="shared" si="159"/>
        <v xml:space="preserve"> </v>
      </c>
      <c r="AF246" s="176">
        <f t="shared" si="160"/>
        <v>0</v>
      </c>
      <c r="AG246" s="178" t="str">
        <f t="shared" si="161"/>
        <v/>
      </c>
      <c r="AH246" s="176">
        <f t="shared" si="162"/>
        <v>0</v>
      </c>
    </row>
    <row r="247" spans="2:34" ht="16.5" outlineLevel="1" x14ac:dyDescent="0.25">
      <c r="B247" s="175" t="s">
        <v>2660</v>
      </c>
      <c r="C247" s="176">
        <v>2.41</v>
      </c>
      <c r="D247" s="176">
        <v>6.59</v>
      </c>
      <c r="E247" s="194">
        <v>3</v>
      </c>
      <c r="F247" s="194">
        <v>2.1</v>
      </c>
      <c r="G247" s="194">
        <f t="shared" si="163"/>
        <v>0.89999999999999991</v>
      </c>
      <c r="H247" s="176"/>
      <c r="I247" s="178" t="str">
        <f t="shared" si="144"/>
        <v>X</v>
      </c>
      <c r="J247" s="176">
        <f t="shared" si="145"/>
        <v>19.77</v>
      </c>
      <c r="K247" s="178" t="str">
        <f t="shared" si="146"/>
        <v>X</v>
      </c>
      <c r="L247" s="176">
        <f t="shared" si="167"/>
        <v>13.839</v>
      </c>
      <c r="M247" s="178" t="str">
        <f t="shared" si="148"/>
        <v>X</v>
      </c>
      <c r="N247" s="177">
        <f t="shared" si="149"/>
        <v>5.9309999999999992</v>
      </c>
      <c r="O247" s="178" t="str">
        <f t="shared" si="150"/>
        <v>X</v>
      </c>
      <c r="P247" s="176">
        <f t="shared" si="151"/>
        <v>13.839</v>
      </c>
      <c r="Q247" s="178" t="s">
        <v>0</v>
      </c>
      <c r="R247" s="176"/>
      <c r="S247" s="178" t="s">
        <v>2578</v>
      </c>
      <c r="T247" s="178" t="str">
        <f t="shared" si="152"/>
        <v>X</v>
      </c>
      <c r="U247" s="176">
        <f t="shared" si="164"/>
        <v>5.9309999999999992</v>
      </c>
      <c r="V247" s="178" t="str">
        <f t="shared" si="153"/>
        <v xml:space="preserve"> </v>
      </c>
      <c r="W247" s="176">
        <f t="shared" si="165"/>
        <v>0</v>
      </c>
      <c r="X247" s="178" t="str">
        <f t="shared" si="154"/>
        <v xml:space="preserve"> </v>
      </c>
      <c r="Y247" s="176">
        <f t="shared" si="166"/>
        <v>0</v>
      </c>
      <c r="Z247" s="178" t="s">
        <v>2581</v>
      </c>
      <c r="AA247" s="178" t="str">
        <f t="shared" si="155"/>
        <v>X</v>
      </c>
      <c r="AB247" s="176">
        <f t="shared" si="156"/>
        <v>2.41</v>
      </c>
      <c r="AC247" s="178" t="str">
        <f t="shared" si="157"/>
        <v xml:space="preserve"> </v>
      </c>
      <c r="AD247" s="176">
        <f t="shared" si="158"/>
        <v>0</v>
      </c>
      <c r="AE247" s="178" t="str">
        <f t="shared" si="159"/>
        <v xml:space="preserve"> </v>
      </c>
      <c r="AF247" s="176">
        <f t="shared" si="160"/>
        <v>0</v>
      </c>
      <c r="AG247" s="178" t="str">
        <f t="shared" si="161"/>
        <v/>
      </c>
      <c r="AH247" s="176">
        <f t="shared" si="162"/>
        <v>0</v>
      </c>
    </row>
    <row r="248" spans="2:34" ht="16.5" outlineLevel="1" x14ac:dyDescent="0.25">
      <c r="B248" s="175" t="s">
        <v>2661</v>
      </c>
      <c r="C248" s="176">
        <v>1.92</v>
      </c>
      <c r="D248" s="176">
        <v>5.7</v>
      </c>
      <c r="E248" s="194">
        <v>3</v>
      </c>
      <c r="F248" s="194">
        <v>2.1</v>
      </c>
      <c r="G248" s="194">
        <f t="shared" si="163"/>
        <v>0.89999999999999991</v>
      </c>
      <c r="H248" s="176"/>
      <c r="I248" s="178" t="str">
        <f t="shared" si="144"/>
        <v>X</v>
      </c>
      <c r="J248" s="176">
        <f t="shared" ref="J248:J254" si="168">IF(I248="X",($D248-H248)*E248,0)</f>
        <v>17.100000000000001</v>
      </c>
      <c r="K248" s="178" t="str">
        <f t="shared" si="146"/>
        <v>X</v>
      </c>
      <c r="L248" s="176">
        <f t="shared" ref="L248:L254" si="169">IF(K248="X",($D248-H248)*F248,0)</f>
        <v>11.97</v>
      </c>
      <c r="M248" s="178" t="str">
        <f t="shared" si="148"/>
        <v>X</v>
      </c>
      <c r="N248" s="177">
        <f t="shared" ref="N248:N254" si="170">IF(M248="X",J248-L248,0)</f>
        <v>5.1300000000000008</v>
      </c>
      <c r="O248" s="178" t="str">
        <f t="shared" si="150"/>
        <v>X</v>
      </c>
      <c r="P248" s="176">
        <f t="shared" ref="P248:P254" si="171">IF(L248&gt;0,L248,0)</f>
        <v>11.97</v>
      </c>
      <c r="Q248" s="178" t="s">
        <v>0</v>
      </c>
      <c r="R248" s="176"/>
      <c r="S248" s="178" t="s">
        <v>2578</v>
      </c>
      <c r="T248" s="178" t="str">
        <f t="shared" si="152"/>
        <v>X</v>
      </c>
      <c r="U248" s="176">
        <f t="shared" si="164"/>
        <v>5.1300000000000008</v>
      </c>
      <c r="V248" s="178" t="str">
        <f t="shared" si="153"/>
        <v xml:space="preserve"> </v>
      </c>
      <c r="W248" s="176">
        <f t="shared" si="165"/>
        <v>0</v>
      </c>
      <c r="X248" s="178" t="str">
        <f t="shared" si="154"/>
        <v xml:space="preserve"> </v>
      </c>
      <c r="Y248" s="176">
        <f t="shared" si="166"/>
        <v>0</v>
      </c>
      <c r="Z248" s="178" t="s">
        <v>2581</v>
      </c>
      <c r="AA248" s="178" t="str">
        <f t="shared" si="155"/>
        <v>X</v>
      </c>
      <c r="AB248" s="176">
        <f t="shared" si="156"/>
        <v>1.92</v>
      </c>
      <c r="AC248" s="178" t="str">
        <f t="shared" si="157"/>
        <v xml:space="preserve"> </v>
      </c>
      <c r="AD248" s="176">
        <f t="shared" si="158"/>
        <v>0</v>
      </c>
      <c r="AE248" s="178" t="str">
        <f t="shared" si="159"/>
        <v xml:space="preserve"> </v>
      </c>
      <c r="AF248" s="176">
        <f t="shared" si="160"/>
        <v>0</v>
      </c>
      <c r="AG248" s="178" t="str">
        <f t="shared" si="161"/>
        <v/>
      </c>
      <c r="AH248" s="176">
        <f t="shared" si="162"/>
        <v>0</v>
      </c>
    </row>
    <row r="249" spans="2:34" ht="16.5" outlineLevel="1" x14ac:dyDescent="0.25">
      <c r="B249" s="175" t="s">
        <v>2742</v>
      </c>
      <c r="C249" s="176">
        <v>4.54</v>
      </c>
      <c r="D249" s="176">
        <v>8.69</v>
      </c>
      <c r="E249" s="194">
        <v>3</v>
      </c>
      <c r="F249" s="194">
        <v>0</v>
      </c>
      <c r="G249" s="194">
        <f t="shared" si="163"/>
        <v>3</v>
      </c>
      <c r="H249" s="176"/>
      <c r="I249" s="178" t="str">
        <f t="shared" si="144"/>
        <v>X</v>
      </c>
      <c r="J249" s="176">
        <f t="shared" si="168"/>
        <v>26.07</v>
      </c>
      <c r="K249" s="178" t="str">
        <f t="shared" si="146"/>
        <v xml:space="preserve"> </v>
      </c>
      <c r="L249" s="176">
        <f t="shared" si="169"/>
        <v>0</v>
      </c>
      <c r="M249" s="178" t="str">
        <f t="shared" si="148"/>
        <v>X</v>
      </c>
      <c r="N249" s="177">
        <f t="shared" si="170"/>
        <v>26.07</v>
      </c>
      <c r="O249" s="178" t="str">
        <f t="shared" si="150"/>
        <v xml:space="preserve"> </v>
      </c>
      <c r="P249" s="176">
        <f t="shared" si="171"/>
        <v>0</v>
      </c>
      <c r="Q249" s="178" t="s">
        <v>0</v>
      </c>
      <c r="R249" s="176"/>
      <c r="S249" s="178" t="s">
        <v>2578</v>
      </c>
      <c r="T249" s="178" t="str">
        <f t="shared" si="152"/>
        <v>X</v>
      </c>
      <c r="U249" s="176">
        <f t="shared" si="164"/>
        <v>26.07</v>
      </c>
      <c r="V249" s="178" t="str">
        <f t="shared" si="153"/>
        <v xml:space="preserve"> </v>
      </c>
      <c r="W249" s="176">
        <f t="shared" si="165"/>
        <v>0</v>
      </c>
      <c r="X249" s="178" t="str">
        <f t="shared" si="154"/>
        <v xml:space="preserve"> </v>
      </c>
      <c r="Y249" s="176">
        <f t="shared" si="166"/>
        <v>0</v>
      </c>
      <c r="Z249" s="178" t="s">
        <v>2581</v>
      </c>
      <c r="AA249" s="178" t="str">
        <f t="shared" si="155"/>
        <v>X</v>
      </c>
      <c r="AB249" s="176">
        <f t="shared" si="156"/>
        <v>4.54</v>
      </c>
      <c r="AC249" s="178" t="str">
        <f t="shared" si="157"/>
        <v xml:space="preserve"> </v>
      </c>
      <c r="AD249" s="176">
        <f t="shared" si="158"/>
        <v>0</v>
      </c>
      <c r="AE249" s="178" t="str">
        <f t="shared" si="159"/>
        <v xml:space="preserve"> </v>
      </c>
      <c r="AF249" s="176">
        <f t="shared" si="160"/>
        <v>0</v>
      </c>
      <c r="AG249" s="178" t="str">
        <f t="shared" si="161"/>
        <v>X</v>
      </c>
      <c r="AH249" s="176">
        <f t="shared" si="162"/>
        <v>8.69</v>
      </c>
    </row>
    <row r="250" spans="2:34" ht="16.5" outlineLevel="1" x14ac:dyDescent="0.25">
      <c r="B250" s="175" t="s">
        <v>2743</v>
      </c>
      <c r="C250" s="176">
        <v>11.68</v>
      </c>
      <c r="D250" s="176">
        <v>14.15</v>
      </c>
      <c r="E250" s="194">
        <v>3</v>
      </c>
      <c r="F250" s="194">
        <v>0</v>
      </c>
      <c r="G250" s="194">
        <f t="shared" si="163"/>
        <v>3</v>
      </c>
      <c r="H250" s="176"/>
      <c r="I250" s="178" t="str">
        <f t="shared" si="144"/>
        <v>X</v>
      </c>
      <c r="J250" s="176">
        <f t="shared" si="168"/>
        <v>42.45</v>
      </c>
      <c r="K250" s="178" t="str">
        <f t="shared" si="146"/>
        <v xml:space="preserve"> </v>
      </c>
      <c r="L250" s="176">
        <f t="shared" si="169"/>
        <v>0</v>
      </c>
      <c r="M250" s="178" t="str">
        <f t="shared" si="148"/>
        <v>X</v>
      </c>
      <c r="N250" s="177">
        <f t="shared" si="170"/>
        <v>42.45</v>
      </c>
      <c r="O250" s="178" t="str">
        <f t="shared" si="150"/>
        <v xml:space="preserve"> </v>
      </c>
      <c r="P250" s="176">
        <f t="shared" si="171"/>
        <v>0</v>
      </c>
      <c r="Q250" s="178" t="s">
        <v>0</v>
      </c>
      <c r="R250" s="176"/>
      <c r="S250" s="178" t="s">
        <v>2579</v>
      </c>
      <c r="T250" s="178" t="str">
        <f t="shared" si="152"/>
        <v xml:space="preserve"> </v>
      </c>
      <c r="U250" s="176">
        <f t="shared" si="164"/>
        <v>0</v>
      </c>
      <c r="V250" s="178" t="str">
        <f t="shared" si="153"/>
        <v>X</v>
      </c>
      <c r="W250" s="176">
        <f t="shared" si="165"/>
        <v>42.45</v>
      </c>
      <c r="X250" s="178" t="str">
        <f t="shared" si="154"/>
        <v xml:space="preserve"> </v>
      </c>
      <c r="Y250" s="176">
        <f t="shared" si="166"/>
        <v>0</v>
      </c>
      <c r="Z250" s="178" t="s">
        <v>2581</v>
      </c>
      <c r="AA250" s="178" t="str">
        <f t="shared" si="155"/>
        <v>X</v>
      </c>
      <c r="AB250" s="176">
        <f t="shared" si="156"/>
        <v>11.68</v>
      </c>
      <c r="AC250" s="178" t="str">
        <f t="shared" si="157"/>
        <v xml:space="preserve"> </v>
      </c>
      <c r="AD250" s="176">
        <f t="shared" si="158"/>
        <v>0</v>
      </c>
      <c r="AE250" s="178" t="str">
        <f t="shared" si="159"/>
        <v xml:space="preserve"> </v>
      </c>
      <c r="AF250" s="176">
        <f t="shared" si="160"/>
        <v>0</v>
      </c>
      <c r="AG250" s="178" t="str">
        <f t="shared" si="161"/>
        <v>X</v>
      </c>
      <c r="AH250" s="176">
        <f t="shared" si="162"/>
        <v>14.15</v>
      </c>
    </row>
    <row r="251" spans="2:34" ht="16.5" outlineLevel="1" x14ac:dyDescent="0.25">
      <c r="B251" s="175" t="s">
        <v>2744</v>
      </c>
      <c r="C251" s="176">
        <v>7.84</v>
      </c>
      <c r="D251" s="176">
        <v>11.2</v>
      </c>
      <c r="E251" s="194">
        <v>3</v>
      </c>
      <c r="F251" s="194">
        <v>0</v>
      </c>
      <c r="G251" s="194">
        <f t="shared" si="163"/>
        <v>3</v>
      </c>
      <c r="H251" s="176"/>
      <c r="I251" s="178" t="str">
        <f t="shared" si="144"/>
        <v>X</v>
      </c>
      <c r="J251" s="176">
        <f t="shared" si="168"/>
        <v>33.599999999999994</v>
      </c>
      <c r="K251" s="178" t="str">
        <f t="shared" si="146"/>
        <v xml:space="preserve"> </v>
      </c>
      <c r="L251" s="176">
        <f t="shared" si="169"/>
        <v>0</v>
      </c>
      <c r="M251" s="178" t="str">
        <f t="shared" si="148"/>
        <v>X</v>
      </c>
      <c r="N251" s="177">
        <f t="shared" si="170"/>
        <v>33.599999999999994</v>
      </c>
      <c r="O251" s="178" t="str">
        <f t="shared" si="150"/>
        <v xml:space="preserve"> </v>
      </c>
      <c r="P251" s="176">
        <f t="shared" si="171"/>
        <v>0</v>
      </c>
      <c r="Q251" s="178" t="s">
        <v>0</v>
      </c>
      <c r="R251" s="176"/>
      <c r="S251" s="178" t="s">
        <v>2578</v>
      </c>
      <c r="T251" s="178" t="str">
        <f t="shared" si="152"/>
        <v>X</v>
      </c>
      <c r="U251" s="176">
        <f t="shared" si="164"/>
        <v>33.599999999999994</v>
      </c>
      <c r="V251" s="178" t="str">
        <f t="shared" si="153"/>
        <v xml:space="preserve"> </v>
      </c>
      <c r="W251" s="176">
        <f t="shared" si="165"/>
        <v>0</v>
      </c>
      <c r="X251" s="178" t="str">
        <f t="shared" si="154"/>
        <v xml:space="preserve"> </v>
      </c>
      <c r="Y251" s="176">
        <f t="shared" si="166"/>
        <v>0</v>
      </c>
      <c r="Z251" s="178" t="s">
        <v>2581</v>
      </c>
      <c r="AA251" s="178" t="str">
        <f t="shared" si="155"/>
        <v>X</v>
      </c>
      <c r="AB251" s="176">
        <f t="shared" si="156"/>
        <v>7.84</v>
      </c>
      <c r="AC251" s="178" t="str">
        <f t="shared" si="157"/>
        <v xml:space="preserve"> </v>
      </c>
      <c r="AD251" s="176">
        <f t="shared" si="158"/>
        <v>0</v>
      </c>
      <c r="AE251" s="178" t="str">
        <f t="shared" si="159"/>
        <v xml:space="preserve"> </v>
      </c>
      <c r="AF251" s="176">
        <f t="shared" si="160"/>
        <v>0</v>
      </c>
      <c r="AG251" s="178" t="str">
        <f t="shared" si="161"/>
        <v>X</v>
      </c>
      <c r="AH251" s="176">
        <f t="shared" si="162"/>
        <v>11.2</v>
      </c>
    </row>
    <row r="252" spans="2:34" ht="16.5" outlineLevel="1" x14ac:dyDescent="0.25">
      <c r="B252" s="175" t="s">
        <v>2745</v>
      </c>
      <c r="C252" s="176">
        <v>7.84</v>
      </c>
      <c r="D252" s="176">
        <v>11.2</v>
      </c>
      <c r="E252" s="194">
        <v>3</v>
      </c>
      <c r="F252" s="194">
        <v>0</v>
      </c>
      <c r="G252" s="194">
        <f t="shared" si="163"/>
        <v>3</v>
      </c>
      <c r="H252" s="176"/>
      <c r="I252" s="178" t="str">
        <f t="shared" si="144"/>
        <v>X</v>
      </c>
      <c r="J252" s="176">
        <f t="shared" si="168"/>
        <v>33.599999999999994</v>
      </c>
      <c r="K252" s="178" t="str">
        <f t="shared" si="146"/>
        <v xml:space="preserve"> </v>
      </c>
      <c r="L252" s="176">
        <f t="shared" si="169"/>
        <v>0</v>
      </c>
      <c r="M252" s="178" t="str">
        <f t="shared" si="148"/>
        <v>X</v>
      </c>
      <c r="N252" s="177">
        <f t="shared" si="170"/>
        <v>33.599999999999994</v>
      </c>
      <c r="O252" s="178" t="str">
        <f t="shared" si="150"/>
        <v xml:space="preserve"> </v>
      </c>
      <c r="P252" s="176">
        <f t="shared" si="171"/>
        <v>0</v>
      </c>
      <c r="Q252" s="178" t="s">
        <v>0</v>
      </c>
      <c r="R252" s="176"/>
      <c r="S252" s="178" t="s">
        <v>2578</v>
      </c>
      <c r="T252" s="178" t="str">
        <f t="shared" si="152"/>
        <v>X</v>
      </c>
      <c r="U252" s="176">
        <f t="shared" si="164"/>
        <v>33.599999999999994</v>
      </c>
      <c r="V252" s="178" t="str">
        <f t="shared" si="153"/>
        <v xml:space="preserve"> </v>
      </c>
      <c r="W252" s="176">
        <f t="shared" si="165"/>
        <v>0</v>
      </c>
      <c r="X252" s="178" t="str">
        <f t="shared" si="154"/>
        <v xml:space="preserve"> </v>
      </c>
      <c r="Y252" s="176">
        <f t="shared" si="166"/>
        <v>0</v>
      </c>
      <c r="Z252" s="178" t="s">
        <v>2581</v>
      </c>
      <c r="AA252" s="178" t="str">
        <f t="shared" si="155"/>
        <v>X</v>
      </c>
      <c r="AB252" s="176">
        <f t="shared" si="156"/>
        <v>7.84</v>
      </c>
      <c r="AC252" s="178" t="str">
        <f t="shared" si="157"/>
        <v xml:space="preserve"> </v>
      </c>
      <c r="AD252" s="176">
        <f t="shared" si="158"/>
        <v>0</v>
      </c>
      <c r="AE252" s="178" t="str">
        <f t="shared" si="159"/>
        <v xml:space="preserve"> </v>
      </c>
      <c r="AF252" s="176">
        <f t="shared" si="160"/>
        <v>0</v>
      </c>
      <c r="AG252" s="178" t="str">
        <f t="shared" si="161"/>
        <v>X</v>
      </c>
      <c r="AH252" s="176">
        <f t="shared" si="162"/>
        <v>11.2</v>
      </c>
    </row>
    <row r="253" spans="2:34" ht="16.5" outlineLevel="1" x14ac:dyDescent="0.25">
      <c r="B253" s="175" t="s">
        <v>2746</v>
      </c>
      <c r="C253" s="176">
        <v>8.52</v>
      </c>
      <c r="D253" s="176">
        <v>11.68</v>
      </c>
      <c r="E253" s="194">
        <v>3</v>
      </c>
      <c r="F253" s="194">
        <v>0</v>
      </c>
      <c r="G253" s="194">
        <f t="shared" si="163"/>
        <v>3</v>
      </c>
      <c r="H253" s="176"/>
      <c r="I253" s="178" t="str">
        <f t="shared" si="144"/>
        <v>X</v>
      </c>
      <c r="J253" s="176">
        <f t="shared" si="168"/>
        <v>35.04</v>
      </c>
      <c r="K253" s="178" t="str">
        <f t="shared" si="146"/>
        <v xml:space="preserve"> </v>
      </c>
      <c r="L253" s="176">
        <f t="shared" si="169"/>
        <v>0</v>
      </c>
      <c r="M253" s="178" t="str">
        <f t="shared" si="148"/>
        <v>X</v>
      </c>
      <c r="N253" s="177">
        <f t="shared" si="170"/>
        <v>35.04</v>
      </c>
      <c r="O253" s="178" t="str">
        <f t="shared" si="150"/>
        <v xml:space="preserve"> </v>
      </c>
      <c r="P253" s="176">
        <f t="shared" si="171"/>
        <v>0</v>
      </c>
      <c r="Q253" s="178" t="s">
        <v>0</v>
      </c>
      <c r="R253" s="176"/>
      <c r="S253" s="178" t="s">
        <v>2578</v>
      </c>
      <c r="T253" s="178" t="str">
        <f t="shared" si="152"/>
        <v>X</v>
      </c>
      <c r="U253" s="176">
        <f t="shared" si="164"/>
        <v>35.04</v>
      </c>
      <c r="V253" s="178" t="str">
        <f t="shared" si="153"/>
        <v xml:space="preserve"> </v>
      </c>
      <c r="W253" s="176">
        <f t="shared" si="165"/>
        <v>0</v>
      </c>
      <c r="X253" s="178" t="str">
        <f t="shared" si="154"/>
        <v xml:space="preserve"> </v>
      </c>
      <c r="Y253" s="176">
        <f t="shared" si="166"/>
        <v>0</v>
      </c>
      <c r="Z253" s="178" t="s">
        <v>2581</v>
      </c>
      <c r="AA253" s="178" t="str">
        <f t="shared" si="155"/>
        <v>X</v>
      </c>
      <c r="AB253" s="176">
        <f t="shared" si="156"/>
        <v>8.52</v>
      </c>
      <c r="AC253" s="178" t="str">
        <f t="shared" si="157"/>
        <v xml:space="preserve"> </v>
      </c>
      <c r="AD253" s="176">
        <f t="shared" si="158"/>
        <v>0</v>
      </c>
      <c r="AE253" s="178" t="str">
        <f t="shared" si="159"/>
        <v xml:space="preserve"> </v>
      </c>
      <c r="AF253" s="176">
        <f t="shared" si="160"/>
        <v>0</v>
      </c>
      <c r="AG253" s="178" t="str">
        <f t="shared" si="161"/>
        <v>X</v>
      </c>
      <c r="AH253" s="176">
        <f t="shared" si="162"/>
        <v>11.68</v>
      </c>
    </row>
    <row r="254" spans="2:34" ht="16.5" outlineLevel="1" x14ac:dyDescent="0.25">
      <c r="B254" s="175" t="s">
        <v>2747</v>
      </c>
      <c r="C254" s="176">
        <v>10.57</v>
      </c>
      <c r="D254" s="176">
        <v>17.100000000000001</v>
      </c>
      <c r="E254" s="194">
        <v>3</v>
      </c>
      <c r="F254" s="194">
        <v>0</v>
      </c>
      <c r="G254" s="194">
        <f t="shared" si="163"/>
        <v>3</v>
      </c>
      <c r="H254" s="176"/>
      <c r="I254" s="178" t="str">
        <f t="shared" si="144"/>
        <v>X</v>
      </c>
      <c r="J254" s="176">
        <f t="shared" si="168"/>
        <v>51.300000000000004</v>
      </c>
      <c r="K254" s="178" t="str">
        <f t="shared" si="146"/>
        <v xml:space="preserve"> </v>
      </c>
      <c r="L254" s="176">
        <f t="shared" si="169"/>
        <v>0</v>
      </c>
      <c r="M254" s="178" t="str">
        <f t="shared" si="148"/>
        <v>X</v>
      </c>
      <c r="N254" s="177">
        <f t="shared" si="170"/>
        <v>51.300000000000004</v>
      </c>
      <c r="O254" s="178" t="str">
        <f t="shared" si="150"/>
        <v xml:space="preserve"> </v>
      </c>
      <c r="P254" s="176">
        <f t="shared" si="171"/>
        <v>0</v>
      </c>
      <c r="Q254" s="178" t="s">
        <v>0</v>
      </c>
      <c r="R254" s="176"/>
      <c r="S254" s="178" t="s">
        <v>2578</v>
      </c>
      <c r="T254" s="178" t="str">
        <f t="shared" si="152"/>
        <v>X</v>
      </c>
      <c r="U254" s="176">
        <f t="shared" si="164"/>
        <v>51.300000000000004</v>
      </c>
      <c r="V254" s="178" t="str">
        <f t="shared" si="153"/>
        <v xml:space="preserve"> </v>
      </c>
      <c r="W254" s="176">
        <f t="shared" si="165"/>
        <v>0</v>
      </c>
      <c r="X254" s="178" t="str">
        <f t="shared" si="154"/>
        <v xml:space="preserve"> </v>
      </c>
      <c r="Y254" s="176">
        <f t="shared" si="166"/>
        <v>0</v>
      </c>
      <c r="Z254" s="178" t="s">
        <v>2582</v>
      </c>
      <c r="AA254" s="178" t="str">
        <f t="shared" si="155"/>
        <v xml:space="preserve"> </v>
      </c>
      <c r="AB254" s="176">
        <f t="shared" si="156"/>
        <v>0</v>
      </c>
      <c r="AC254" s="178" t="str">
        <f t="shared" si="157"/>
        <v>X</v>
      </c>
      <c r="AD254" s="176">
        <f t="shared" si="158"/>
        <v>10.57</v>
      </c>
      <c r="AE254" s="178" t="str">
        <f t="shared" si="159"/>
        <v xml:space="preserve"> </v>
      </c>
      <c r="AF254" s="176">
        <f t="shared" si="160"/>
        <v>0</v>
      </c>
      <c r="AG254" s="178" t="str">
        <f t="shared" si="161"/>
        <v>X</v>
      </c>
      <c r="AH254" s="176">
        <f t="shared" si="162"/>
        <v>17.100000000000001</v>
      </c>
    </row>
    <row r="255" spans="2:34" ht="16.5" x14ac:dyDescent="0.25">
      <c r="B255" s="182"/>
      <c r="C255" s="185"/>
      <c r="D255" s="185"/>
      <c r="E255" s="185"/>
      <c r="F255" s="185"/>
      <c r="G255" s="185"/>
      <c r="H255" s="185"/>
      <c r="I255" s="184"/>
      <c r="J255" s="185"/>
      <c r="K255" s="184"/>
      <c r="L255" s="185"/>
      <c r="M255" s="184"/>
      <c r="N255" s="185"/>
      <c r="O255" s="201"/>
      <c r="P255" s="185"/>
      <c r="Q255" s="184"/>
      <c r="R255" s="189"/>
      <c r="S255" s="185"/>
      <c r="T255" s="184"/>
      <c r="U255" s="185"/>
      <c r="V255" s="184"/>
      <c r="W255" s="185"/>
      <c r="X255" s="184"/>
      <c r="Y255" s="189"/>
      <c r="Z255" s="185"/>
      <c r="AA255" s="184"/>
      <c r="AB255" s="185"/>
      <c r="AC255" s="184"/>
      <c r="AD255" s="185"/>
      <c r="AE255" s="184"/>
      <c r="AF255" s="189"/>
      <c r="AG255" s="184"/>
      <c r="AH255" s="189"/>
    </row>
    <row r="256" spans="2:34" ht="16.5" x14ac:dyDescent="0.25">
      <c r="B256" s="929" t="s">
        <v>2748</v>
      </c>
      <c r="C256" s="930"/>
      <c r="D256" s="930"/>
      <c r="E256" s="930"/>
      <c r="F256" s="930"/>
      <c r="G256" s="930"/>
      <c r="H256" s="931"/>
      <c r="I256" s="190" t="s">
        <v>2586</v>
      </c>
      <c r="J256" s="191">
        <f>SUBTOTAL(9,J257:J283)</f>
        <v>1324.3500000000001</v>
      </c>
      <c r="K256" s="192" t="s">
        <v>2586</v>
      </c>
      <c r="L256" s="191">
        <f>SUBTOTAL(9,L257:L283)</f>
        <v>148.36500000000001</v>
      </c>
      <c r="M256" s="190" t="s">
        <v>2586</v>
      </c>
      <c r="N256" s="200">
        <f>SUBTOTAL(9,N257:N283)</f>
        <v>1175.9850000000001</v>
      </c>
      <c r="O256" s="190" t="s">
        <v>2586</v>
      </c>
      <c r="P256" s="191">
        <f>SUBTOTAL(9,P257:P283)</f>
        <v>149.36500000000001</v>
      </c>
      <c r="Q256" s="190" t="s">
        <v>2586</v>
      </c>
      <c r="R256" s="191">
        <f>SUBTOTAL(9,R257:R283)</f>
        <v>0</v>
      </c>
      <c r="S256" s="191"/>
      <c r="T256" s="190" t="s">
        <v>2586</v>
      </c>
      <c r="U256" s="200">
        <f>SUBTOTAL(9,U257:U283)</f>
        <v>673.09500000000003</v>
      </c>
      <c r="V256" s="190" t="s">
        <v>2586</v>
      </c>
      <c r="W256" s="191">
        <f>SUBTOTAL(9,W257:W283)</f>
        <v>502.89</v>
      </c>
      <c r="X256" s="190" t="s">
        <v>2586</v>
      </c>
      <c r="Y256" s="191">
        <f>SUBTOTAL(9,Y257:Y283)</f>
        <v>0</v>
      </c>
      <c r="Z256" s="191"/>
      <c r="AA256" s="190" t="s">
        <v>2586</v>
      </c>
      <c r="AB256" s="200">
        <f>SUBTOTAL(9,AB257:AB283)</f>
        <v>378.77999999999992</v>
      </c>
      <c r="AC256" s="190" t="s">
        <v>2586</v>
      </c>
      <c r="AD256" s="191">
        <f>SUBTOTAL(9,AD257:AD283)</f>
        <v>104.72</v>
      </c>
      <c r="AE256" s="190" t="s">
        <v>2586</v>
      </c>
      <c r="AF256" s="191">
        <f>SUBTOTAL(9,AF257:AF283)</f>
        <v>0</v>
      </c>
      <c r="AG256" s="190" t="s">
        <v>2586</v>
      </c>
      <c r="AH256" s="191">
        <f>SUBTOTAL(9,AH257:AH283)</f>
        <v>370.80000000000007</v>
      </c>
    </row>
    <row r="257" spans="2:34" ht="16.5" outlineLevel="1" x14ac:dyDescent="0.25">
      <c r="B257" s="175" t="s">
        <v>2738</v>
      </c>
      <c r="C257" s="176">
        <v>9.24</v>
      </c>
      <c r="D257" s="176">
        <v>12.8</v>
      </c>
      <c r="E257" s="194">
        <v>3</v>
      </c>
      <c r="F257" s="194">
        <v>2.1</v>
      </c>
      <c r="G257" s="194">
        <f>E257-F257</f>
        <v>0.89999999999999991</v>
      </c>
      <c r="H257" s="176"/>
      <c r="I257" s="178" t="str">
        <f t="shared" ref="I257:I283" si="172">IF($E257&gt;0,"X"," ")</f>
        <v>X</v>
      </c>
      <c r="J257" s="176">
        <f t="shared" ref="J257:J272" si="173">IF(I257="X",($D257-H257)*E257,0)</f>
        <v>38.400000000000006</v>
      </c>
      <c r="K257" s="178" t="str">
        <f t="shared" ref="K257:K283" si="174">IF($F257&gt;0,"X"," ")</f>
        <v>X</v>
      </c>
      <c r="L257" s="176">
        <f t="shared" ref="L257:L267" si="175">IF(K257="X",($D257-H257)*F257,0)</f>
        <v>26.880000000000003</v>
      </c>
      <c r="M257" s="178" t="str">
        <f t="shared" ref="M257:M283" si="176">IF($E257&gt;0,"X"," ")</f>
        <v>X</v>
      </c>
      <c r="N257" s="177">
        <f t="shared" ref="N257:N272" si="177">IF(M257="X",J257-L257,0)</f>
        <v>11.520000000000003</v>
      </c>
      <c r="O257" s="178" t="str">
        <f t="shared" ref="O257:O283" si="178">IF($F257&gt;0,"X"," ")</f>
        <v>X</v>
      </c>
      <c r="P257" s="176">
        <f t="shared" ref="P257:P272" si="179">IF(L257&gt;0,L257,0)</f>
        <v>26.880000000000003</v>
      </c>
      <c r="Q257" s="178" t="s">
        <v>0</v>
      </c>
      <c r="R257" s="176"/>
      <c r="S257" s="178" t="s">
        <v>2578</v>
      </c>
      <c r="T257" s="178" t="str">
        <f t="shared" ref="T257:T283" si="180">IF($S257="ACRÍLICA","X"," ")</f>
        <v>X</v>
      </c>
      <c r="U257" s="176">
        <f>IF(T257="X",$N257,0)</f>
        <v>11.520000000000003</v>
      </c>
      <c r="V257" s="178" t="str">
        <f t="shared" ref="V257:V283" si="181">IF($S257="EPÓXI","X"," ")</f>
        <v xml:space="preserve"> </v>
      </c>
      <c r="W257" s="176">
        <f>IF(V257="X",$N257,0)</f>
        <v>0</v>
      </c>
      <c r="X257" s="178" t="str">
        <f t="shared" ref="X257:X283" si="182">IF($S257="TEXTURA","X"," ")</f>
        <v xml:space="preserve"> </v>
      </c>
      <c r="Y257" s="176">
        <f>IF(X257="X",$N257,0)</f>
        <v>0</v>
      </c>
      <c r="Z257" s="178" t="s">
        <v>2581</v>
      </c>
      <c r="AA257" s="178" t="str">
        <f t="shared" ref="AA257:AA283" si="183">IF($Z257="ACARTONADO","X"," ")</f>
        <v>X</v>
      </c>
      <c r="AB257" s="176">
        <f t="shared" ref="AB257:AB283" si="184">IF(AA257="X",$C257,0)</f>
        <v>9.24</v>
      </c>
      <c r="AC257" s="178" t="str">
        <f t="shared" ref="AC257:AC283" si="185">IF($Z257="MINERAL","X"," ")</f>
        <v xml:space="preserve"> </v>
      </c>
      <c r="AD257" s="176">
        <f t="shared" ref="AD257:AD283" si="186">IF(AC257="X",$C257,0)</f>
        <v>0</v>
      </c>
      <c r="AE257" s="178" t="str">
        <f t="shared" ref="AE257:AE283" si="187">IF($Z257="LAJE","X"," ")</f>
        <v xml:space="preserve"> </v>
      </c>
      <c r="AF257" s="176">
        <f t="shared" ref="AF257:AF283" si="188">IF(AE257="X",$C257,0)</f>
        <v>0</v>
      </c>
      <c r="AG257" s="178" t="str">
        <f t="shared" ref="AG257:AG283" si="189">IF(K257="X","","X")</f>
        <v/>
      </c>
      <c r="AH257" s="176">
        <f t="shared" ref="AH257:AH283" si="190">IF(AG257="X",$D257-H257,0)</f>
        <v>0</v>
      </c>
    </row>
    <row r="258" spans="2:34" ht="16.5" outlineLevel="1" x14ac:dyDescent="0.25">
      <c r="B258" s="175" t="s">
        <v>2739</v>
      </c>
      <c r="C258" s="176">
        <v>9.16</v>
      </c>
      <c r="D258" s="176">
        <v>13.05</v>
      </c>
      <c r="E258" s="194">
        <v>3</v>
      </c>
      <c r="F258" s="194">
        <v>2.1</v>
      </c>
      <c r="G258" s="194">
        <f t="shared" ref="G258:G283" si="191">E258-F258</f>
        <v>0.89999999999999991</v>
      </c>
      <c r="H258" s="176"/>
      <c r="I258" s="178" t="str">
        <f t="shared" si="172"/>
        <v>X</v>
      </c>
      <c r="J258" s="176">
        <f t="shared" si="173"/>
        <v>39.150000000000006</v>
      </c>
      <c r="K258" s="178" t="str">
        <f t="shared" si="174"/>
        <v>X</v>
      </c>
      <c r="L258" s="176">
        <f t="shared" si="175"/>
        <v>27.405000000000001</v>
      </c>
      <c r="M258" s="178" t="str">
        <f t="shared" si="176"/>
        <v>X</v>
      </c>
      <c r="N258" s="177">
        <f t="shared" si="177"/>
        <v>11.745000000000005</v>
      </c>
      <c r="O258" s="178" t="str">
        <f t="shared" si="178"/>
        <v>X</v>
      </c>
      <c r="P258" s="176">
        <f t="shared" si="179"/>
        <v>27.405000000000001</v>
      </c>
      <c r="Q258" s="178" t="s">
        <v>0</v>
      </c>
      <c r="R258" s="176"/>
      <c r="S258" s="178" t="s">
        <v>2578</v>
      </c>
      <c r="T258" s="178" t="str">
        <f t="shared" si="180"/>
        <v>X</v>
      </c>
      <c r="U258" s="176">
        <f t="shared" ref="U258:U283" si="192">IF(T258="X",$N258,0)</f>
        <v>11.745000000000005</v>
      </c>
      <c r="V258" s="178" t="str">
        <f t="shared" si="181"/>
        <v xml:space="preserve"> </v>
      </c>
      <c r="W258" s="176">
        <f t="shared" ref="W258:W283" si="193">IF(V258="X",$N258,0)</f>
        <v>0</v>
      </c>
      <c r="X258" s="178" t="str">
        <f t="shared" si="182"/>
        <v xml:space="preserve"> </v>
      </c>
      <c r="Y258" s="176">
        <f t="shared" ref="Y258:Y283" si="194">IF(X258="X",$N258,0)</f>
        <v>0</v>
      </c>
      <c r="Z258" s="178" t="s">
        <v>2581</v>
      </c>
      <c r="AA258" s="178" t="str">
        <f t="shared" si="183"/>
        <v>X</v>
      </c>
      <c r="AB258" s="176">
        <f t="shared" si="184"/>
        <v>9.16</v>
      </c>
      <c r="AC258" s="178" t="str">
        <f t="shared" si="185"/>
        <v xml:space="preserve"> </v>
      </c>
      <c r="AD258" s="176">
        <f t="shared" si="186"/>
        <v>0</v>
      </c>
      <c r="AE258" s="178" t="str">
        <f t="shared" si="187"/>
        <v xml:space="preserve"> </v>
      </c>
      <c r="AF258" s="176">
        <f t="shared" si="188"/>
        <v>0</v>
      </c>
      <c r="AG258" s="178" t="str">
        <f t="shared" si="189"/>
        <v/>
      </c>
      <c r="AH258" s="176">
        <f t="shared" si="190"/>
        <v>0</v>
      </c>
    </row>
    <row r="259" spans="2:34" ht="16.5" outlineLevel="1" x14ac:dyDescent="0.25">
      <c r="B259" s="175" t="s">
        <v>2737</v>
      </c>
      <c r="C259" s="176">
        <v>3.54</v>
      </c>
      <c r="D259" s="176">
        <v>7.65</v>
      </c>
      <c r="E259" s="194">
        <v>3</v>
      </c>
      <c r="F259" s="194">
        <v>0</v>
      </c>
      <c r="G259" s="194">
        <f t="shared" si="191"/>
        <v>3</v>
      </c>
      <c r="H259" s="176"/>
      <c r="I259" s="178" t="str">
        <f t="shared" si="172"/>
        <v>X</v>
      </c>
      <c r="J259" s="176">
        <f t="shared" si="173"/>
        <v>22.950000000000003</v>
      </c>
      <c r="K259" s="178" t="str">
        <f t="shared" si="174"/>
        <v xml:space="preserve"> </v>
      </c>
      <c r="L259" s="176">
        <f t="shared" si="175"/>
        <v>0</v>
      </c>
      <c r="M259" s="178" t="str">
        <f t="shared" si="176"/>
        <v>X</v>
      </c>
      <c r="N259" s="177">
        <f t="shared" si="177"/>
        <v>22.950000000000003</v>
      </c>
      <c r="O259" s="178" t="str">
        <f t="shared" si="178"/>
        <v xml:space="preserve"> </v>
      </c>
      <c r="P259" s="176">
        <f t="shared" si="179"/>
        <v>0</v>
      </c>
      <c r="Q259" s="178" t="s">
        <v>0</v>
      </c>
      <c r="R259" s="176"/>
      <c r="S259" s="178" t="s">
        <v>2578</v>
      </c>
      <c r="T259" s="178" t="str">
        <f t="shared" si="180"/>
        <v>X</v>
      </c>
      <c r="U259" s="176">
        <f t="shared" si="192"/>
        <v>22.950000000000003</v>
      </c>
      <c r="V259" s="178" t="str">
        <f t="shared" si="181"/>
        <v xml:space="preserve"> </v>
      </c>
      <c r="W259" s="176">
        <f t="shared" si="193"/>
        <v>0</v>
      </c>
      <c r="X259" s="178" t="str">
        <f t="shared" si="182"/>
        <v xml:space="preserve"> </v>
      </c>
      <c r="Y259" s="176">
        <f t="shared" si="194"/>
        <v>0</v>
      </c>
      <c r="Z259" s="178" t="s">
        <v>2582</v>
      </c>
      <c r="AA259" s="178" t="str">
        <f t="shared" si="183"/>
        <v xml:space="preserve"> </v>
      </c>
      <c r="AB259" s="176">
        <f t="shared" si="184"/>
        <v>0</v>
      </c>
      <c r="AC259" s="178" t="str">
        <f t="shared" si="185"/>
        <v>X</v>
      </c>
      <c r="AD259" s="176">
        <f t="shared" si="186"/>
        <v>3.54</v>
      </c>
      <c r="AE259" s="178" t="str">
        <f t="shared" si="187"/>
        <v xml:space="preserve"> </v>
      </c>
      <c r="AF259" s="176">
        <f t="shared" si="188"/>
        <v>0</v>
      </c>
      <c r="AG259" s="178" t="str">
        <f t="shared" si="189"/>
        <v>X</v>
      </c>
      <c r="AH259" s="176">
        <f t="shared" si="190"/>
        <v>7.65</v>
      </c>
    </row>
    <row r="260" spans="2:34" ht="16.5" outlineLevel="1" x14ac:dyDescent="0.25">
      <c r="B260" s="175" t="s">
        <v>2594</v>
      </c>
      <c r="C260" s="176">
        <v>17.97</v>
      </c>
      <c r="D260" s="176">
        <v>23.12</v>
      </c>
      <c r="E260" s="194">
        <v>3</v>
      </c>
      <c r="F260" s="194">
        <v>0</v>
      </c>
      <c r="G260" s="194">
        <f t="shared" si="191"/>
        <v>3</v>
      </c>
      <c r="H260" s="176"/>
      <c r="I260" s="178" t="str">
        <f t="shared" si="172"/>
        <v>X</v>
      </c>
      <c r="J260" s="176">
        <f t="shared" si="173"/>
        <v>69.36</v>
      </c>
      <c r="K260" s="178" t="str">
        <f t="shared" si="174"/>
        <v xml:space="preserve"> </v>
      </c>
      <c r="L260" s="176">
        <f t="shared" si="175"/>
        <v>0</v>
      </c>
      <c r="M260" s="178" t="str">
        <f t="shared" si="176"/>
        <v>X</v>
      </c>
      <c r="N260" s="177">
        <f t="shared" si="177"/>
        <v>69.36</v>
      </c>
      <c r="O260" s="178" t="str">
        <f t="shared" si="178"/>
        <v xml:space="preserve"> </v>
      </c>
      <c r="P260" s="176">
        <f t="shared" si="179"/>
        <v>0</v>
      </c>
      <c r="Q260" s="178" t="s">
        <v>0</v>
      </c>
      <c r="R260" s="176"/>
      <c r="S260" s="178" t="s">
        <v>2578</v>
      </c>
      <c r="T260" s="178" t="str">
        <f t="shared" si="180"/>
        <v>X</v>
      </c>
      <c r="U260" s="176">
        <f t="shared" si="192"/>
        <v>69.36</v>
      </c>
      <c r="V260" s="178" t="str">
        <f t="shared" si="181"/>
        <v xml:space="preserve"> </v>
      </c>
      <c r="W260" s="176">
        <f t="shared" si="193"/>
        <v>0</v>
      </c>
      <c r="X260" s="178" t="str">
        <f t="shared" si="182"/>
        <v xml:space="preserve"> </v>
      </c>
      <c r="Y260" s="176">
        <f t="shared" si="194"/>
        <v>0</v>
      </c>
      <c r="Z260" s="178" t="s">
        <v>2582</v>
      </c>
      <c r="AA260" s="178" t="str">
        <f t="shared" si="183"/>
        <v xml:space="preserve"> </v>
      </c>
      <c r="AB260" s="176">
        <f t="shared" si="184"/>
        <v>0</v>
      </c>
      <c r="AC260" s="178" t="str">
        <f t="shared" si="185"/>
        <v>X</v>
      </c>
      <c r="AD260" s="176">
        <f t="shared" si="186"/>
        <v>17.97</v>
      </c>
      <c r="AE260" s="178" t="str">
        <f t="shared" si="187"/>
        <v xml:space="preserve"> </v>
      </c>
      <c r="AF260" s="176">
        <f t="shared" si="188"/>
        <v>0</v>
      </c>
      <c r="AG260" s="178" t="str">
        <f t="shared" si="189"/>
        <v>X</v>
      </c>
      <c r="AH260" s="176">
        <f t="shared" si="190"/>
        <v>23.12</v>
      </c>
    </row>
    <row r="261" spans="2:34" ht="16.5" outlineLevel="1" x14ac:dyDescent="0.25">
      <c r="B261" s="175" t="s">
        <v>2666</v>
      </c>
      <c r="C261" s="176">
        <v>6.14</v>
      </c>
      <c r="D261" s="176">
        <v>10.16</v>
      </c>
      <c r="E261" s="194">
        <v>3</v>
      </c>
      <c r="F261" s="194">
        <v>0</v>
      </c>
      <c r="G261" s="194">
        <f t="shared" si="191"/>
        <v>3</v>
      </c>
      <c r="H261" s="176"/>
      <c r="I261" s="178" t="str">
        <f t="shared" si="172"/>
        <v>X</v>
      </c>
      <c r="J261" s="176">
        <f t="shared" si="173"/>
        <v>30.48</v>
      </c>
      <c r="K261" s="178" t="str">
        <f t="shared" si="174"/>
        <v xml:space="preserve"> </v>
      </c>
      <c r="L261" s="176">
        <f t="shared" si="175"/>
        <v>0</v>
      </c>
      <c r="M261" s="178" t="str">
        <f t="shared" si="176"/>
        <v>X</v>
      </c>
      <c r="N261" s="177">
        <f t="shared" si="177"/>
        <v>30.48</v>
      </c>
      <c r="O261" s="178" t="str">
        <f t="shared" si="178"/>
        <v xml:space="preserve"> </v>
      </c>
      <c r="P261" s="176">
        <f t="shared" si="179"/>
        <v>0</v>
      </c>
      <c r="Q261" s="178" t="s">
        <v>0</v>
      </c>
      <c r="R261" s="176"/>
      <c r="S261" s="178" t="s">
        <v>2579</v>
      </c>
      <c r="T261" s="178" t="str">
        <f t="shared" si="180"/>
        <v xml:space="preserve"> </v>
      </c>
      <c r="U261" s="176">
        <f t="shared" si="192"/>
        <v>0</v>
      </c>
      <c r="V261" s="178" t="str">
        <f t="shared" si="181"/>
        <v>X</v>
      </c>
      <c r="W261" s="176">
        <f t="shared" si="193"/>
        <v>30.48</v>
      </c>
      <c r="X261" s="178" t="str">
        <f t="shared" si="182"/>
        <v xml:space="preserve"> </v>
      </c>
      <c r="Y261" s="176">
        <f t="shared" si="194"/>
        <v>0</v>
      </c>
      <c r="Z261" s="178" t="s">
        <v>2581</v>
      </c>
      <c r="AA261" s="178" t="str">
        <f t="shared" si="183"/>
        <v>X</v>
      </c>
      <c r="AB261" s="176">
        <f t="shared" si="184"/>
        <v>6.14</v>
      </c>
      <c r="AC261" s="178" t="str">
        <f t="shared" si="185"/>
        <v xml:space="preserve"> </v>
      </c>
      <c r="AD261" s="176">
        <f t="shared" si="186"/>
        <v>0</v>
      </c>
      <c r="AE261" s="178" t="str">
        <f t="shared" si="187"/>
        <v xml:space="preserve"> </v>
      </c>
      <c r="AF261" s="176">
        <f t="shared" si="188"/>
        <v>0</v>
      </c>
      <c r="AG261" s="178" t="str">
        <f t="shared" si="189"/>
        <v>X</v>
      </c>
      <c r="AH261" s="176">
        <f t="shared" si="190"/>
        <v>10.16</v>
      </c>
    </row>
    <row r="262" spans="2:34" ht="16.5" outlineLevel="1" x14ac:dyDescent="0.25">
      <c r="B262" s="175" t="s">
        <v>2729</v>
      </c>
      <c r="C262" s="176">
        <v>206.56</v>
      </c>
      <c r="D262" s="176">
        <v>68</v>
      </c>
      <c r="E262" s="194">
        <v>3</v>
      </c>
      <c r="F262" s="194">
        <v>0</v>
      </c>
      <c r="G262" s="194">
        <f t="shared" si="191"/>
        <v>3</v>
      </c>
      <c r="H262" s="176"/>
      <c r="I262" s="178" t="str">
        <f t="shared" si="172"/>
        <v>X</v>
      </c>
      <c r="J262" s="176">
        <f t="shared" si="173"/>
        <v>204</v>
      </c>
      <c r="K262" s="178" t="str">
        <f t="shared" si="174"/>
        <v xml:space="preserve"> </v>
      </c>
      <c r="L262" s="176">
        <f t="shared" si="175"/>
        <v>0</v>
      </c>
      <c r="M262" s="178" t="str">
        <f t="shared" si="176"/>
        <v>X</v>
      </c>
      <c r="N262" s="177">
        <f t="shared" si="177"/>
        <v>204</v>
      </c>
      <c r="O262" s="178" t="str">
        <f t="shared" si="178"/>
        <v xml:space="preserve"> </v>
      </c>
      <c r="P262" s="176">
        <f t="shared" si="179"/>
        <v>0</v>
      </c>
      <c r="Q262" s="178" t="s">
        <v>0</v>
      </c>
      <c r="R262" s="176"/>
      <c r="S262" s="178" t="s">
        <v>2579</v>
      </c>
      <c r="T262" s="178" t="str">
        <f t="shared" si="180"/>
        <v xml:space="preserve"> </v>
      </c>
      <c r="U262" s="176">
        <f t="shared" si="192"/>
        <v>0</v>
      </c>
      <c r="V262" s="178" t="str">
        <f t="shared" si="181"/>
        <v>X</v>
      </c>
      <c r="W262" s="176">
        <f t="shared" si="193"/>
        <v>204</v>
      </c>
      <c r="X262" s="178" t="str">
        <f t="shared" si="182"/>
        <v xml:space="preserve"> </v>
      </c>
      <c r="Y262" s="176">
        <f t="shared" si="194"/>
        <v>0</v>
      </c>
      <c r="Z262" s="178" t="s">
        <v>2581</v>
      </c>
      <c r="AA262" s="178" t="str">
        <f t="shared" si="183"/>
        <v>X</v>
      </c>
      <c r="AB262" s="176">
        <f t="shared" si="184"/>
        <v>206.56</v>
      </c>
      <c r="AC262" s="178" t="str">
        <f t="shared" si="185"/>
        <v xml:space="preserve"> </v>
      </c>
      <c r="AD262" s="176">
        <f t="shared" si="186"/>
        <v>0</v>
      </c>
      <c r="AE262" s="178" t="str">
        <f t="shared" si="187"/>
        <v xml:space="preserve"> </v>
      </c>
      <c r="AF262" s="176">
        <f t="shared" si="188"/>
        <v>0</v>
      </c>
      <c r="AG262" s="178" t="str">
        <f t="shared" si="189"/>
        <v>X</v>
      </c>
      <c r="AH262" s="176">
        <f t="shared" si="190"/>
        <v>68</v>
      </c>
    </row>
    <row r="263" spans="2:34" ht="16.5" outlineLevel="1" x14ac:dyDescent="0.25">
      <c r="B263" s="175" t="s">
        <v>2730</v>
      </c>
      <c r="C263" s="176">
        <v>14.57</v>
      </c>
      <c r="D263" s="176">
        <f>17.26+18.46</f>
        <v>35.72</v>
      </c>
      <c r="E263" s="194">
        <v>3</v>
      </c>
      <c r="F263" s="194">
        <v>0</v>
      </c>
      <c r="G263" s="194">
        <f t="shared" si="191"/>
        <v>3</v>
      </c>
      <c r="H263" s="176"/>
      <c r="I263" s="178" t="str">
        <f t="shared" si="172"/>
        <v>X</v>
      </c>
      <c r="J263" s="176">
        <f t="shared" si="173"/>
        <v>107.16</v>
      </c>
      <c r="K263" s="178" t="str">
        <f t="shared" si="174"/>
        <v xml:space="preserve"> </v>
      </c>
      <c r="L263" s="176">
        <f t="shared" si="175"/>
        <v>0</v>
      </c>
      <c r="M263" s="178" t="str">
        <f t="shared" si="176"/>
        <v>X</v>
      </c>
      <c r="N263" s="177">
        <f t="shared" si="177"/>
        <v>107.16</v>
      </c>
      <c r="O263" s="178" t="str">
        <f t="shared" si="178"/>
        <v xml:space="preserve"> </v>
      </c>
      <c r="P263" s="176">
        <f t="shared" si="179"/>
        <v>0</v>
      </c>
      <c r="Q263" s="178" t="s">
        <v>0</v>
      </c>
      <c r="R263" s="176"/>
      <c r="S263" s="178" t="s">
        <v>2579</v>
      </c>
      <c r="T263" s="178" t="str">
        <f t="shared" si="180"/>
        <v xml:space="preserve"> </v>
      </c>
      <c r="U263" s="176">
        <f t="shared" si="192"/>
        <v>0</v>
      </c>
      <c r="V263" s="178" t="str">
        <f t="shared" si="181"/>
        <v>X</v>
      </c>
      <c r="W263" s="176">
        <f t="shared" si="193"/>
        <v>107.16</v>
      </c>
      <c r="X263" s="178" t="str">
        <f t="shared" si="182"/>
        <v xml:space="preserve"> </v>
      </c>
      <c r="Y263" s="176">
        <f t="shared" si="194"/>
        <v>0</v>
      </c>
      <c r="Z263" s="178" t="s">
        <v>2581</v>
      </c>
      <c r="AA263" s="178" t="str">
        <f t="shared" si="183"/>
        <v>X</v>
      </c>
      <c r="AB263" s="176">
        <f t="shared" si="184"/>
        <v>14.57</v>
      </c>
      <c r="AC263" s="178" t="str">
        <f t="shared" si="185"/>
        <v xml:space="preserve"> </v>
      </c>
      <c r="AD263" s="176">
        <f t="shared" si="186"/>
        <v>0</v>
      </c>
      <c r="AE263" s="178" t="str">
        <f t="shared" si="187"/>
        <v xml:space="preserve"> </v>
      </c>
      <c r="AF263" s="176">
        <f t="shared" si="188"/>
        <v>0</v>
      </c>
      <c r="AG263" s="178" t="str">
        <f t="shared" si="189"/>
        <v>X</v>
      </c>
      <c r="AH263" s="176">
        <f t="shared" si="190"/>
        <v>35.72</v>
      </c>
    </row>
    <row r="264" spans="2:34" ht="16.5" outlineLevel="1" x14ac:dyDescent="0.25">
      <c r="B264" s="175" t="s">
        <v>2749</v>
      </c>
      <c r="C264" s="176">
        <v>7.8</v>
      </c>
      <c r="D264" s="176">
        <v>11.2</v>
      </c>
      <c r="E264" s="194">
        <v>3</v>
      </c>
      <c r="F264" s="194">
        <v>0</v>
      </c>
      <c r="G264" s="194">
        <f t="shared" si="191"/>
        <v>3</v>
      </c>
      <c r="H264" s="176"/>
      <c r="I264" s="178" t="str">
        <f t="shared" si="172"/>
        <v>X</v>
      </c>
      <c r="J264" s="176">
        <f t="shared" si="173"/>
        <v>33.599999999999994</v>
      </c>
      <c r="K264" s="178" t="str">
        <f t="shared" si="174"/>
        <v xml:space="preserve"> </v>
      </c>
      <c r="L264" s="176">
        <f t="shared" si="175"/>
        <v>0</v>
      </c>
      <c r="M264" s="178" t="str">
        <f t="shared" si="176"/>
        <v>X</v>
      </c>
      <c r="N264" s="177">
        <f t="shared" si="177"/>
        <v>33.599999999999994</v>
      </c>
      <c r="O264" s="178" t="str">
        <f t="shared" si="178"/>
        <v xml:space="preserve"> </v>
      </c>
      <c r="P264" s="176">
        <f t="shared" si="179"/>
        <v>0</v>
      </c>
      <c r="Q264" s="178" t="s">
        <v>0</v>
      </c>
      <c r="R264" s="176"/>
      <c r="S264" s="178" t="s">
        <v>2578</v>
      </c>
      <c r="T264" s="178" t="str">
        <f t="shared" si="180"/>
        <v>X</v>
      </c>
      <c r="U264" s="176">
        <f t="shared" si="192"/>
        <v>33.599999999999994</v>
      </c>
      <c r="V264" s="178" t="str">
        <f t="shared" si="181"/>
        <v xml:space="preserve"> </v>
      </c>
      <c r="W264" s="176">
        <f t="shared" si="193"/>
        <v>0</v>
      </c>
      <c r="X264" s="178" t="str">
        <f t="shared" si="182"/>
        <v xml:space="preserve"> </v>
      </c>
      <c r="Y264" s="176">
        <f t="shared" si="194"/>
        <v>0</v>
      </c>
      <c r="Z264" s="178" t="s">
        <v>2581</v>
      </c>
      <c r="AA264" s="178" t="str">
        <f t="shared" si="183"/>
        <v>X</v>
      </c>
      <c r="AB264" s="176">
        <f t="shared" si="184"/>
        <v>7.8</v>
      </c>
      <c r="AC264" s="178" t="str">
        <f t="shared" si="185"/>
        <v xml:space="preserve"> </v>
      </c>
      <c r="AD264" s="176">
        <f t="shared" si="186"/>
        <v>0</v>
      </c>
      <c r="AE264" s="178" t="str">
        <f t="shared" si="187"/>
        <v xml:space="preserve"> </v>
      </c>
      <c r="AF264" s="176">
        <f t="shared" si="188"/>
        <v>0</v>
      </c>
      <c r="AG264" s="178" t="str">
        <f t="shared" si="189"/>
        <v>X</v>
      </c>
      <c r="AH264" s="176">
        <f t="shared" si="190"/>
        <v>11.2</v>
      </c>
    </row>
    <row r="265" spans="2:34" ht="16.5" outlineLevel="1" x14ac:dyDescent="0.25">
      <c r="B265" s="175" t="s">
        <v>2750</v>
      </c>
      <c r="C265" s="176">
        <v>7.65</v>
      </c>
      <c r="D265" s="176">
        <v>11.1</v>
      </c>
      <c r="E265" s="194">
        <v>3</v>
      </c>
      <c r="F265" s="194">
        <v>0</v>
      </c>
      <c r="G265" s="194">
        <f t="shared" si="191"/>
        <v>3</v>
      </c>
      <c r="H265" s="176"/>
      <c r="I265" s="178" t="str">
        <f t="shared" si="172"/>
        <v>X</v>
      </c>
      <c r="J265" s="176">
        <f t="shared" si="173"/>
        <v>33.299999999999997</v>
      </c>
      <c r="K265" s="178" t="str">
        <f t="shared" si="174"/>
        <v xml:space="preserve"> </v>
      </c>
      <c r="L265" s="176">
        <f t="shared" si="175"/>
        <v>0</v>
      </c>
      <c r="M265" s="178" t="str">
        <f t="shared" si="176"/>
        <v>X</v>
      </c>
      <c r="N265" s="177">
        <f t="shared" si="177"/>
        <v>33.299999999999997</v>
      </c>
      <c r="O265" s="178" t="str">
        <f t="shared" si="178"/>
        <v xml:space="preserve"> </v>
      </c>
      <c r="P265" s="176">
        <f t="shared" si="179"/>
        <v>0</v>
      </c>
      <c r="Q265" s="178" t="s">
        <v>0</v>
      </c>
      <c r="R265" s="176"/>
      <c r="S265" s="178" t="s">
        <v>2578</v>
      </c>
      <c r="T265" s="178" t="str">
        <f t="shared" si="180"/>
        <v>X</v>
      </c>
      <c r="U265" s="176">
        <f t="shared" si="192"/>
        <v>33.299999999999997</v>
      </c>
      <c r="V265" s="178" t="str">
        <f t="shared" si="181"/>
        <v xml:space="preserve"> </v>
      </c>
      <c r="W265" s="176">
        <f t="shared" si="193"/>
        <v>0</v>
      </c>
      <c r="X265" s="178" t="str">
        <f t="shared" si="182"/>
        <v xml:space="preserve"> </v>
      </c>
      <c r="Y265" s="176">
        <f t="shared" si="194"/>
        <v>0</v>
      </c>
      <c r="Z265" s="178" t="s">
        <v>2581</v>
      </c>
      <c r="AA265" s="178" t="str">
        <f t="shared" si="183"/>
        <v>X</v>
      </c>
      <c r="AB265" s="176">
        <f t="shared" si="184"/>
        <v>7.65</v>
      </c>
      <c r="AC265" s="178" t="str">
        <f t="shared" si="185"/>
        <v xml:space="preserve"> </v>
      </c>
      <c r="AD265" s="176">
        <f t="shared" si="186"/>
        <v>0</v>
      </c>
      <c r="AE265" s="178" t="str">
        <f t="shared" si="187"/>
        <v xml:space="preserve"> </v>
      </c>
      <c r="AF265" s="176">
        <f t="shared" si="188"/>
        <v>0</v>
      </c>
      <c r="AG265" s="178" t="str">
        <f t="shared" si="189"/>
        <v>X</v>
      </c>
      <c r="AH265" s="176">
        <f t="shared" si="190"/>
        <v>11.1</v>
      </c>
    </row>
    <row r="266" spans="2:34" ht="16.5" outlineLevel="1" x14ac:dyDescent="0.25">
      <c r="B266" s="175" t="s">
        <v>2751</v>
      </c>
      <c r="C266" s="176">
        <v>9.1999999999999993</v>
      </c>
      <c r="D266" s="176">
        <v>12.18</v>
      </c>
      <c r="E266" s="194">
        <v>3</v>
      </c>
      <c r="F266" s="194">
        <v>0</v>
      </c>
      <c r="G266" s="194">
        <f t="shared" si="191"/>
        <v>3</v>
      </c>
      <c r="H266" s="176"/>
      <c r="I266" s="178" t="str">
        <f t="shared" si="172"/>
        <v>X</v>
      </c>
      <c r="J266" s="176">
        <f t="shared" si="173"/>
        <v>36.54</v>
      </c>
      <c r="K266" s="178" t="str">
        <f t="shared" si="174"/>
        <v xml:space="preserve"> </v>
      </c>
      <c r="L266" s="176">
        <f t="shared" si="175"/>
        <v>0</v>
      </c>
      <c r="M266" s="178" t="str">
        <f t="shared" si="176"/>
        <v>X</v>
      </c>
      <c r="N266" s="177">
        <f t="shared" si="177"/>
        <v>36.54</v>
      </c>
      <c r="O266" s="178" t="str">
        <f t="shared" si="178"/>
        <v xml:space="preserve"> </v>
      </c>
      <c r="P266" s="176">
        <v>1</v>
      </c>
      <c r="Q266" s="178" t="s">
        <v>0</v>
      </c>
      <c r="R266" s="176"/>
      <c r="S266" s="178" t="s">
        <v>2578</v>
      </c>
      <c r="T266" s="178" t="str">
        <f t="shared" si="180"/>
        <v>X</v>
      </c>
      <c r="U266" s="176">
        <f t="shared" si="192"/>
        <v>36.54</v>
      </c>
      <c r="V266" s="178" t="str">
        <f t="shared" si="181"/>
        <v xml:space="preserve"> </v>
      </c>
      <c r="W266" s="176">
        <f t="shared" si="193"/>
        <v>0</v>
      </c>
      <c r="X266" s="178" t="str">
        <f t="shared" si="182"/>
        <v xml:space="preserve"> </v>
      </c>
      <c r="Y266" s="176">
        <f t="shared" si="194"/>
        <v>0</v>
      </c>
      <c r="Z266" s="178" t="s">
        <v>2581</v>
      </c>
      <c r="AA266" s="178" t="str">
        <f t="shared" si="183"/>
        <v>X</v>
      </c>
      <c r="AB266" s="176">
        <f t="shared" si="184"/>
        <v>9.1999999999999993</v>
      </c>
      <c r="AC266" s="178" t="str">
        <f t="shared" si="185"/>
        <v xml:space="preserve"> </v>
      </c>
      <c r="AD266" s="176">
        <f t="shared" si="186"/>
        <v>0</v>
      </c>
      <c r="AE266" s="178" t="str">
        <f t="shared" si="187"/>
        <v xml:space="preserve"> </v>
      </c>
      <c r="AF266" s="176">
        <f t="shared" si="188"/>
        <v>0</v>
      </c>
      <c r="AG266" s="178" t="str">
        <f t="shared" si="189"/>
        <v>X</v>
      </c>
      <c r="AH266" s="176">
        <f t="shared" si="190"/>
        <v>12.18</v>
      </c>
    </row>
    <row r="267" spans="2:34" ht="16.5" outlineLevel="1" x14ac:dyDescent="0.25">
      <c r="B267" s="175" t="s">
        <v>2611</v>
      </c>
      <c r="C267" s="176">
        <v>3</v>
      </c>
      <c r="D267" s="176">
        <v>7.4</v>
      </c>
      <c r="E267" s="194">
        <v>3</v>
      </c>
      <c r="F267" s="194">
        <v>0</v>
      </c>
      <c r="G267" s="194">
        <f t="shared" si="191"/>
        <v>3</v>
      </c>
      <c r="H267" s="176"/>
      <c r="I267" s="178" t="str">
        <f t="shared" si="172"/>
        <v>X</v>
      </c>
      <c r="J267" s="176">
        <f t="shared" si="173"/>
        <v>22.200000000000003</v>
      </c>
      <c r="K267" s="178" t="str">
        <f t="shared" si="174"/>
        <v xml:space="preserve"> </v>
      </c>
      <c r="L267" s="176">
        <f t="shared" si="175"/>
        <v>0</v>
      </c>
      <c r="M267" s="178" t="str">
        <f t="shared" si="176"/>
        <v>X</v>
      </c>
      <c r="N267" s="177">
        <f t="shared" si="177"/>
        <v>22.200000000000003</v>
      </c>
      <c r="O267" s="178" t="str">
        <f t="shared" si="178"/>
        <v xml:space="preserve"> </v>
      </c>
      <c r="P267" s="176">
        <f t="shared" si="179"/>
        <v>0</v>
      </c>
      <c r="Q267" s="178" t="s">
        <v>0</v>
      </c>
      <c r="R267" s="176"/>
      <c r="S267" s="178" t="s">
        <v>2578</v>
      </c>
      <c r="T267" s="178" t="str">
        <f t="shared" si="180"/>
        <v>X</v>
      </c>
      <c r="U267" s="176">
        <f t="shared" si="192"/>
        <v>22.200000000000003</v>
      </c>
      <c r="V267" s="178" t="str">
        <f t="shared" si="181"/>
        <v xml:space="preserve"> </v>
      </c>
      <c r="W267" s="176">
        <f t="shared" si="193"/>
        <v>0</v>
      </c>
      <c r="X267" s="178" t="str">
        <f t="shared" si="182"/>
        <v xml:space="preserve"> </v>
      </c>
      <c r="Y267" s="176">
        <f t="shared" si="194"/>
        <v>0</v>
      </c>
      <c r="Z267" s="178" t="s">
        <v>2581</v>
      </c>
      <c r="AA267" s="178" t="str">
        <f t="shared" si="183"/>
        <v>X</v>
      </c>
      <c r="AB267" s="176">
        <f t="shared" si="184"/>
        <v>3</v>
      </c>
      <c r="AC267" s="178" t="str">
        <f t="shared" si="185"/>
        <v xml:space="preserve"> </v>
      </c>
      <c r="AD267" s="176">
        <f t="shared" si="186"/>
        <v>0</v>
      </c>
      <c r="AE267" s="178" t="str">
        <f t="shared" si="187"/>
        <v xml:space="preserve"> </v>
      </c>
      <c r="AF267" s="176">
        <f t="shared" si="188"/>
        <v>0</v>
      </c>
      <c r="AG267" s="178" t="str">
        <f t="shared" si="189"/>
        <v>X</v>
      </c>
      <c r="AH267" s="176">
        <f t="shared" si="190"/>
        <v>7.4</v>
      </c>
    </row>
    <row r="268" spans="2:34" ht="16.5" outlineLevel="1" x14ac:dyDescent="0.25">
      <c r="B268" s="175" t="s">
        <v>2721</v>
      </c>
      <c r="C268" s="176">
        <v>2.2000000000000002</v>
      </c>
      <c r="D268" s="176">
        <v>6.2</v>
      </c>
      <c r="E268" s="194">
        <v>3</v>
      </c>
      <c r="F268" s="194">
        <v>2.1</v>
      </c>
      <c r="G268" s="194">
        <f t="shared" si="191"/>
        <v>0.89999999999999991</v>
      </c>
      <c r="H268" s="176"/>
      <c r="I268" s="178" t="str">
        <f t="shared" si="172"/>
        <v>X</v>
      </c>
      <c r="J268" s="176">
        <f t="shared" si="173"/>
        <v>18.600000000000001</v>
      </c>
      <c r="K268" s="178" t="str">
        <f t="shared" si="174"/>
        <v>X</v>
      </c>
      <c r="L268" s="176">
        <f>IF(K268="X",($D268-H268)*F268,0)</f>
        <v>13.020000000000001</v>
      </c>
      <c r="M268" s="178" t="str">
        <f t="shared" si="176"/>
        <v>X</v>
      </c>
      <c r="N268" s="177">
        <f t="shared" si="177"/>
        <v>5.58</v>
      </c>
      <c r="O268" s="178" t="str">
        <f t="shared" si="178"/>
        <v>X</v>
      </c>
      <c r="P268" s="176">
        <f t="shared" si="179"/>
        <v>13.020000000000001</v>
      </c>
      <c r="Q268" s="178" t="s">
        <v>0</v>
      </c>
      <c r="R268" s="176"/>
      <c r="S268" s="178" t="s">
        <v>2578</v>
      </c>
      <c r="T268" s="178" t="str">
        <f t="shared" si="180"/>
        <v>X</v>
      </c>
      <c r="U268" s="176">
        <f t="shared" si="192"/>
        <v>5.58</v>
      </c>
      <c r="V268" s="178" t="str">
        <f t="shared" si="181"/>
        <v xml:space="preserve"> </v>
      </c>
      <c r="W268" s="176">
        <f t="shared" si="193"/>
        <v>0</v>
      </c>
      <c r="X268" s="178" t="str">
        <f t="shared" si="182"/>
        <v xml:space="preserve"> </v>
      </c>
      <c r="Y268" s="176">
        <f t="shared" si="194"/>
        <v>0</v>
      </c>
      <c r="Z268" s="178" t="s">
        <v>2581</v>
      </c>
      <c r="AA268" s="178" t="str">
        <f t="shared" si="183"/>
        <v>X</v>
      </c>
      <c r="AB268" s="176">
        <f t="shared" si="184"/>
        <v>2.2000000000000002</v>
      </c>
      <c r="AC268" s="178" t="str">
        <f t="shared" si="185"/>
        <v xml:space="preserve"> </v>
      </c>
      <c r="AD268" s="176">
        <f t="shared" si="186"/>
        <v>0</v>
      </c>
      <c r="AE268" s="178" t="str">
        <f t="shared" si="187"/>
        <v xml:space="preserve"> </v>
      </c>
      <c r="AF268" s="176">
        <f t="shared" si="188"/>
        <v>0</v>
      </c>
      <c r="AG268" s="178" t="str">
        <f t="shared" si="189"/>
        <v/>
      </c>
      <c r="AH268" s="176">
        <f t="shared" si="190"/>
        <v>0</v>
      </c>
    </row>
    <row r="269" spans="2:34" ht="16.5" outlineLevel="1" x14ac:dyDescent="0.25">
      <c r="B269" s="175" t="s">
        <v>2720</v>
      </c>
      <c r="C269" s="176">
        <v>2.2000000000000002</v>
      </c>
      <c r="D269" s="176">
        <v>6.2</v>
      </c>
      <c r="E269" s="194">
        <v>3</v>
      </c>
      <c r="F269" s="194">
        <v>2.1</v>
      </c>
      <c r="G269" s="194">
        <f t="shared" si="191"/>
        <v>0.89999999999999991</v>
      </c>
      <c r="H269" s="176"/>
      <c r="I269" s="178" t="str">
        <f t="shared" si="172"/>
        <v>X</v>
      </c>
      <c r="J269" s="176">
        <f t="shared" si="173"/>
        <v>18.600000000000001</v>
      </c>
      <c r="K269" s="178" t="str">
        <f t="shared" si="174"/>
        <v>X</v>
      </c>
      <c r="L269" s="176">
        <f>IF(K269="X",($D269-H269)*F269,0)</f>
        <v>13.020000000000001</v>
      </c>
      <c r="M269" s="178" t="str">
        <f t="shared" si="176"/>
        <v>X</v>
      </c>
      <c r="N269" s="177">
        <f t="shared" si="177"/>
        <v>5.58</v>
      </c>
      <c r="O269" s="178" t="str">
        <f t="shared" si="178"/>
        <v>X</v>
      </c>
      <c r="P269" s="176">
        <f t="shared" si="179"/>
        <v>13.020000000000001</v>
      </c>
      <c r="Q269" s="178" t="s">
        <v>0</v>
      </c>
      <c r="R269" s="176"/>
      <c r="S269" s="178" t="s">
        <v>2578</v>
      </c>
      <c r="T269" s="178" t="str">
        <f t="shared" si="180"/>
        <v>X</v>
      </c>
      <c r="U269" s="176">
        <f t="shared" si="192"/>
        <v>5.58</v>
      </c>
      <c r="V269" s="178" t="str">
        <f t="shared" si="181"/>
        <v xml:space="preserve"> </v>
      </c>
      <c r="W269" s="176">
        <f t="shared" si="193"/>
        <v>0</v>
      </c>
      <c r="X269" s="178" t="str">
        <f t="shared" si="182"/>
        <v xml:space="preserve"> </v>
      </c>
      <c r="Y269" s="176">
        <f t="shared" si="194"/>
        <v>0</v>
      </c>
      <c r="Z269" s="178" t="s">
        <v>2581</v>
      </c>
      <c r="AA269" s="178" t="str">
        <f t="shared" si="183"/>
        <v>X</v>
      </c>
      <c r="AB269" s="176">
        <f t="shared" si="184"/>
        <v>2.2000000000000002</v>
      </c>
      <c r="AC269" s="178" t="str">
        <f t="shared" si="185"/>
        <v xml:space="preserve"> </v>
      </c>
      <c r="AD269" s="176">
        <f t="shared" si="186"/>
        <v>0</v>
      </c>
      <c r="AE269" s="178" t="str">
        <f t="shared" si="187"/>
        <v xml:space="preserve"> </v>
      </c>
      <c r="AF269" s="176">
        <f t="shared" si="188"/>
        <v>0</v>
      </c>
      <c r="AG269" s="178" t="str">
        <f t="shared" si="189"/>
        <v/>
      </c>
      <c r="AH269" s="176">
        <f t="shared" si="190"/>
        <v>0</v>
      </c>
    </row>
    <row r="270" spans="2:34" ht="16.5" outlineLevel="1" x14ac:dyDescent="0.25">
      <c r="B270" s="175" t="s">
        <v>2669</v>
      </c>
      <c r="C270" s="176">
        <v>5.66</v>
      </c>
      <c r="D270" s="176">
        <v>10.4</v>
      </c>
      <c r="E270" s="194">
        <v>3</v>
      </c>
      <c r="F270" s="194">
        <v>0</v>
      </c>
      <c r="G270" s="194">
        <f t="shared" si="191"/>
        <v>3</v>
      </c>
      <c r="H270" s="176"/>
      <c r="I270" s="178" t="str">
        <f t="shared" si="172"/>
        <v>X</v>
      </c>
      <c r="J270" s="176">
        <f t="shared" si="173"/>
        <v>31.200000000000003</v>
      </c>
      <c r="K270" s="178" t="str">
        <f t="shared" si="174"/>
        <v xml:space="preserve"> </v>
      </c>
      <c r="L270" s="176">
        <f>IF(K270="X",($D270-H270)*F270,0)</f>
        <v>0</v>
      </c>
      <c r="M270" s="178" t="str">
        <f t="shared" si="176"/>
        <v>X</v>
      </c>
      <c r="N270" s="177">
        <f t="shared" si="177"/>
        <v>31.200000000000003</v>
      </c>
      <c r="O270" s="178" t="str">
        <f t="shared" si="178"/>
        <v xml:space="preserve"> </v>
      </c>
      <c r="P270" s="176">
        <f t="shared" si="179"/>
        <v>0</v>
      </c>
      <c r="Q270" s="178" t="s">
        <v>0</v>
      </c>
      <c r="R270" s="176"/>
      <c r="S270" s="178" t="s">
        <v>2579</v>
      </c>
      <c r="T270" s="178" t="str">
        <f t="shared" si="180"/>
        <v xml:space="preserve"> </v>
      </c>
      <c r="U270" s="176">
        <f t="shared" si="192"/>
        <v>0</v>
      </c>
      <c r="V270" s="178" t="str">
        <f t="shared" si="181"/>
        <v>X</v>
      </c>
      <c r="W270" s="176">
        <f t="shared" si="193"/>
        <v>31.200000000000003</v>
      </c>
      <c r="X270" s="178" t="str">
        <f t="shared" si="182"/>
        <v xml:space="preserve"> </v>
      </c>
      <c r="Y270" s="176">
        <f t="shared" si="194"/>
        <v>0</v>
      </c>
      <c r="Z270" s="178" t="s">
        <v>2581</v>
      </c>
      <c r="AA270" s="178" t="str">
        <f t="shared" si="183"/>
        <v>X</v>
      </c>
      <c r="AB270" s="176">
        <f t="shared" si="184"/>
        <v>5.66</v>
      </c>
      <c r="AC270" s="178" t="str">
        <f t="shared" si="185"/>
        <v xml:space="preserve"> </v>
      </c>
      <c r="AD270" s="176">
        <f t="shared" si="186"/>
        <v>0</v>
      </c>
      <c r="AE270" s="178" t="str">
        <f t="shared" si="187"/>
        <v xml:space="preserve"> </v>
      </c>
      <c r="AF270" s="176">
        <f t="shared" si="188"/>
        <v>0</v>
      </c>
      <c r="AG270" s="178" t="str">
        <f t="shared" si="189"/>
        <v>X</v>
      </c>
      <c r="AH270" s="176">
        <f t="shared" si="190"/>
        <v>10.4</v>
      </c>
    </row>
    <row r="271" spans="2:34" ht="16.5" outlineLevel="1" x14ac:dyDescent="0.25">
      <c r="B271" s="175" t="s">
        <v>2728</v>
      </c>
      <c r="C271" s="176">
        <v>13.14</v>
      </c>
      <c r="D271" s="176">
        <v>14.5</v>
      </c>
      <c r="E271" s="194">
        <v>3</v>
      </c>
      <c r="F271" s="194">
        <v>0</v>
      </c>
      <c r="G271" s="194">
        <f t="shared" si="191"/>
        <v>3</v>
      </c>
      <c r="H271" s="176"/>
      <c r="I271" s="178" t="str">
        <f t="shared" si="172"/>
        <v>X</v>
      </c>
      <c r="J271" s="176">
        <f t="shared" si="173"/>
        <v>43.5</v>
      </c>
      <c r="K271" s="178" t="str">
        <f t="shared" si="174"/>
        <v xml:space="preserve"> </v>
      </c>
      <c r="L271" s="176">
        <f>IF(K271="X",($D271-H271)*F271,0)</f>
        <v>0</v>
      </c>
      <c r="M271" s="178" t="str">
        <f t="shared" si="176"/>
        <v>X</v>
      </c>
      <c r="N271" s="177">
        <f t="shared" si="177"/>
        <v>43.5</v>
      </c>
      <c r="O271" s="178" t="str">
        <f t="shared" si="178"/>
        <v xml:space="preserve"> </v>
      </c>
      <c r="P271" s="176">
        <f t="shared" si="179"/>
        <v>0</v>
      </c>
      <c r="Q271" s="178" t="s">
        <v>0</v>
      </c>
      <c r="R271" s="176"/>
      <c r="S271" s="178" t="s">
        <v>2579</v>
      </c>
      <c r="T271" s="178" t="str">
        <f t="shared" si="180"/>
        <v xml:space="preserve"> </v>
      </c>
      <c r="U271" s="176">
        <f t="shared" si="192"/>
        <v>0</v>
      </c>
      <c r="V271" s="178" t="str">
        <f t="shared" si="181"/>
        <v>X</v>
      </c>
      <c r="W271" s="176">
        <f t="shared" si="193"/>
        <v>43.5</v>
      </c>
      <c r="X271" s="178" t="str">
        <f t="shared" si="182"/>
        <v xml:space="preserve"> </v>
      </c>
      <c r="Y271" s="176">
        <f t="shared" si="194"/>
        <v>0</v>
      </c>
      <c r="Z271" s="178" t="s">
        <v>2581</v>
      </c>
      <c r="AA271" s="178" t="str">
        <f t="shared" si="183"/>
        <v>X</v>
      </c>
      <c r="AB271" s="176">
        <f t="shared" si="184"/>
        <v>13.14</v>
      </c>
      <c r="AC271" s="178" t="str">
        <f t="shared" si="185"/>
        <v xml:space="preserve"> </v>
      </c>
      <c r="AD271" s="176">
        <f t="shared" si="186"/>
        <v>0</v>
      </c>
      <c r="AE271" s="178" t="str">
        <f t="shared" si="187"/>
        <v xml:space="preserve"> </v>
      </c>
      <c r="AF271" s="176">
        <f t="shared" si="188"/>
        <v>0</v>
      </c>
      <c r="AG271" s="178" t="str">
        <f t="shared" si="189"/>
        <v>X</v>
      </c>
      <c r="AH271" s="176">
        <f t="shared" si="190"/>
        <v>14.5</v>
      </c>
    </row>
    <row r="272" spans="2:34" ht="16.5" outlineLevel="1" x14ac:dyDescent="0.25">
      <c r="B272" s="175" t="s">
        <v>2678</v>
      </c>
      <c r="C272" s="176">
        <v>4.6900000000000004</v>
      </c>
      <c r="D272" s="176">
        <v>9.4</v>
      </c>
      <c r="E272" s="194">
        <v>3</v>
      </c>
      <c r="F272" s="194">
        <v>2.1</v>
      </c>
      <c r="G272" s="194">
        <f t="shared" si="191"/>
        <v>0.89999999999999991</v>
      </c>
      <c r="H272" s="176"/>
      <c r="I272" s="178" t="str">
        <f t="shared" si="172"/>
        <v>X</v>
      </c>
      <c r="J272" s="176">
        <f t="shared" si="173"/>
        <v>28.200000000000003</v>
      </c>
      <c r="K272" s="178" t="str">
        <f t="shared" si="174"/>
        <v>X</v>
      </c>
      <c r="L272" s="176">
        <f>IF(K272="X",($D272-H272)*F272,0)</f>
        <v>19.740000000000002</v>
      </c>
      <c r="M272" s="178" t="str">
        <f t="shared" si="176"/>
        <v>X</v>
      </c>
      <c r="N272" s="177">
        <f t="shared" si="177"/>
        <v>8.4600000000000009</v>
      </c>
      <c r="O272" s="178" t="str">
        <f t="shared" si="178"/>
        <v>X</v>
      </c>
      <c r="P272" s="176">
        <f t="shared" si="179"/>
        <v>19.740000000000002</v>
      </c>
      <c r="Q272" s="178" t="s">
        <v>0</v>
      </c>
      <c r="R272" s="176"/>
      <c r="S272" s="178" t="s">
        <v>2578</v>
      </c>
      <c r="T272" s="178" t="str">
        <f t="shared" si="180"/>
        <v>X</v>
      </c>
      <c r="U272" s="176">
        <f t="shared" si="192"/>
        <v>8.4600000000000009</v>
      </c>
      <c r="V272" s="178" t="str">
        <f t="shared" si="181"/>
        <v xml:space="preserve"> </v>
      </c>
      <c r="W272" s="176">
        <f t="shared" si="193"/>
        <v>0</v>
      </c>
      <c r="X272" s="178" t="str">
        <f t="shared" si="182"/>
        <v xml:space="preserve"> </v>
      </c>
      <c r="Y272" s="176">
        <f t="shared" si="194"/>
        <v>0</v>
      </c>
      <c r="Z272" s="178" t="s">
        <v>2581</v>
      </c>
      <c r="AA272" s="178" t="str">
        <f t="shared" si="183"/>
        <v>X</v>
      </c>
      <c r="AB272" s="176">
        <f t="shared" si="184"/>
        <v>4.6900000000000004</v>
      </c>
      <c r="AC272" s="178" t="str">
        <f t="shared" si="185"/>
        <v xml:space="preserve"> </v>
      </c>
      <c r="AD272" s="176">
        <f t="shared" si="186"/>
        <v>0</v>
      </c>
      <c r="AE272" s="178" t="str">
        <f t="shared" si="187"/>
        <v xml:space="preserve"> </v>
      </c>
      <c r="AF272" s="176">
        <f t="shared" si="188"/>
        <v>0</v>
      </c>
      <c r="AG272" s="178" t="str">
        <f t="shared" si="189"/>
        <v/>
      </c>
      <c r="AH272" s="176">
        <f t="shared" si="190"/>
        <v>0</v>
      </c>
    </row>
    <row r="273" spans="2:34" ht="16.5" outlineLevel="1" x14ac:dyDescent="0.25">
      <c r="B273" s="175" t="s">
        <v>2678</v>
      </c>
      <c r="C273" s="176">
        <v>4.6900000000000004</v>
      </c>
      <c r="D273" s="176">
        <v>9.4</v>
      </c>
      <c r="E273" s="194">
        <v>3</v>
      </c>
      <c r="F273" s="194">
        <v>2.1</v>
      </c>
      <c r="G273" s="194">
        <f t="shared" si="191"/>
        <v>0.89999999999999991</v>
      </c>
      <c r="H273" s="176"/>
      <c r="I273" s="178" t="str">
        <f t="shared" si="172"/>
        <v>X</v>
      </c>
      <c r="J273" s="176">
        <f t="shared" ref="J273:J283" si="195">IF(I273="X",($D273-H273)*E273,0)</f>
        <v>28.200000000000003</v>
      </c>
      <c r="K273" s="178" t="str">
        <f t="shared" si="174"/>
        <v>X</v>
      </c>
      <c r="L273" s="176">
        <f t="shared" ref="L273:L283" si="196">IF(K273="X",($D273-H273)*F273,0)</f>
        <v>19.740000000000002</v>
      </c>
      <c r="M273" s="178" t="str">
        <f t="shared" si="176"/>
        <v>X</v>
      </c>
      <c r="N273" s="177">
        <f t="shared" ref="N273:N283" si="197">IF(M273="X",J273-L273,0)</f>
        <v>8.4600000000000009</v>
      </c>
      <c r="O273" s="178" t="str">
        <f t="shared" si="178"/>
        <v>X</v>
      </c>
      <c r="P273" s="176">
        <f t="shared" ref="P273:P283" si="198">IF(L273&gt;0,L273,0)</f>
        <v>19.740000000000002</v>
      </c>
      <c r="Q273" s="178" t="s">
        <v>0</v>
      </c>
      <c r="R273" s="176"/>
      <c r="S273" s="178" t="s">
        <v>2578</v>
      </c>
      <c r="T273" s="178" t="str">
        <f t="shared" si="180"/>
        <v>X</v>
      </c>
      <c r="U273" s="176">
        <f t="shared" si="192"/>
        <v>8.4600000000000009</v>
      </c>
      <c r="V273" s="178" t="str">
        <f t="shared" si="181"/>
        <v xml:space="preserve"> </v>
      </c>
      <c r="W273" s="176">
        <f t="shared" si="193"/>
        <v>0</v>
      </c>
      <c r="X273" s="178" t="str">
        <f t="shared" si="182"/>
        <v xml:space="preserve"> </v>
      </c>
      <c r="Y273" s="176">
        <f t="shared" si="194"/>
        <v>0</v>
      </c>
      <c r="Z273" s="178" t="s">
        <v>2581</v>
      </c>
      <c r="AA273" s="178" t="str">
        <f t="shared" si="183"/>
        <v>X</v>
      </c>
      <c r="AB273" s="176">
        <f t="shared" si="184"/>
        <v>4.6900000000000004</v>
      </c>
      <c r="AC273" s="178" t="str">
        <f t="shared" si="185"/>
        <v xml:space="preserve"> </v>
      </c>
      <c r="AD273" s="176">
        <f t="shared" si="186"/>
        <v>0</v>
      </c>
      <c r="AE273" s="178" t="str">
        <f t="shared" si="187"/>
        <v xml:space="preserve"> </v>
      </c>
      <c r="AF273" s="176">
        <f t="shared" si="188"/>
        <v>0</v>
      </c>
      <c r="AG273" s="178" t="str">
        <f t="shared" si="189"/>
        <v/>
      </c>
      <c r="AH273" s="176">
        <f t="shared" si="190"/>
        <v>0</v>
      </c>
    </row>
    <row r="274" spans="2:34" ht="16.5" outlineLevel="1" x14ac:dyDescent="0.25">
      <c r="B274" s="175" t="s">
        <v>2752</v>
      </c>
      <c r="C274" s="176">
        <v>8.7100000000000009</v>
      </c>
      <c r="D274" s="176">
        <v>9.4</v>
      </c>
      <c r="E274" s="194">
        <v>3</v>
      </c>
      <c r="F274" s="194">
        <v>0</v>
      </c>
      <c r="G274" s="194">
        <f t="shared" si="191"/>
        <v>3</v>
      </c>
      <c r="H274" s="176"/>
      <c r="I274" s="178" t="str">
        <f t="shared" si="172"/>
        <v>X</v>
      </c>
      <c r="J274" s="176">
        <f t="shared" si="195"/>
        <v>28.200000000000003</v>
      </c>
      <c r="K274" s="178" t="str">
        <f t="shared" si="174"/>
        <v xml:space="preserve"> </v>
      </c>
      <c r="L274" s="176">
        <f t="shared" si="196"/>
        <v>0</v>
      </c>
      <c r="M274" s="178" t="str">
        <f t="shared" si="176"/>
        <v>X</v>
      </c>
      <c r="N274" s="177">
        <f t="shared" si="197"/>
        <v>28.200000000000003</v>
      </c>
      <c r="O274" s="178" t="str">
        <f t="shared" si="178"/>
        <v xml:space="preserve"> </v>
      </c>
      <c r="P274" s="176">
        <f t="shared" si="198"/>
        <v>0</v>
      </c>
      <c r="Q274" s="178" t="s">
        <v>0</v>
      </c>
      <c r="R274" s="176"/>
      <c r="S274" s="178" t="s">
        <v>2579</v>
      </c>
      <c r="T274" s="178" t="str">
        <f t="shared" si="180"/>
        <v xml:space="preserve"> </v>
      </c>
      <c r="U274" s="176">
        <f t="shared" si="192"/>
        <v>0</v>
      </c>
      <c r="V274" s="178" t="str">
        <f t="shared" si="181"/>
        <v>X</v>
      </c>
      <c r="W274" s="176">
        <f t="shared" si="193"/>
        <v>28.200000000000003</v>
      </c>
      <c r="X274" s="178" t="str">
        <f t="shared" si="182"/>
        <v xml:space="preserve"> </v>
      </c>
      <c r="Y274" s="176">
        <f t="shared" si="194"/>
        <v>0</v>
      </c>
      <c r="Z274" s="178" t="s">
        <v>2581</v>
      </c>
      <c r="AA274" s="178" t="str">
        <f t="shared" si="183"/>
        <v>X</v>
      </c>
      <c r="AB274" s="176">
        <f t="shared" si="184"/>
        <v>8.7100000000000009</v>
      </c>
      <c r="AC274" s="178" t="str">
        <f t="shared" si="185"/>
        <v xml:space="preserve"> </v>
      </c>
      <c r="AD274" s="176">
        <f t="shared" si="186"/>
        <v>0</v>
      </c>
      <c r="AE274" s="178" t="str">
        <f t="shared" si="187"/>
        <v xml:space="preserve"> </v>
      </c>
      <c r="AF274" s="176">
        <f t="shared" si="188"/>
        <v>0</v>
      </c>
      <c r="AG274" s="178" t="str">
        <f t="shared" si="189"/>
        <v>X</v>
      </c>
      <c r="AH274" s="176">
        <f t="shared" si="190"/>
        <v>9.4</v>
      </c>
    </row>
    <row r="275" spans="2:34" ht="16.5" outlineLevel="1" x14ac:dyDescent="0.25">
      <c r="B275" s="175" t="s">
        <v>2753</v>
      </c>
      <c r="C275" s="176">
        <v>2.89</v>
      </c>
      <c r="D275" s="176">
        <v>6.8</v>
      </c>
      <c r="E275" s="194">
        <v>3</v>
      </c>
      <c r="F275" s="194">
        <v>2.1</v>
      </c>
      <c r="G275" s="194">
        <f t="shared" si="191"/>
        <v>0.89999999999999991</v>
      </c>
      <c r="H275" s="176"/>
      <c r="I275" s="178" t="str">
        <f t="shared" si="172"/>
        <v>X</v>
      </c>
      <c r="J275" s="176">
        <f t="shared" si="195"/>
        <v>20.399999999999999</v>
      </c>
      <c r="K275" s="178" t="str">
        <f t="shared" si="174"/>
        <v>X</v>
      </c>
      <c r="L275" s="176">
        <f t="shared" si="196"/>
        <v>14.28</v>
      </c>
      <c r="M275" s="178" t="str">
        <f t="shared" si="176"/>
        <v>X</v>
      </c>
      <c r="N275" s="177">
        <f t="shared" si="197"/>
        <v>6.1199999999999992</v>
      </c>
      <c r="O275" s="178" t="str">
        <f t="shared" si="178"/>
        <v>X</v>
      </c>
      <c r="P275" s="176">
        <f t="shared" si="198"/>
        <v>14.28</v>
      </c>
      <c r="Q275" s="178" t="s">
        <v>0</v>
      </c>
      <c r="R275" s="176"/>
      <c r="S275" s="178" t="s">
        <v>2578</v>
      </c>
      <c r="T275" s="178" t="str">
        <f t="shared" si="180"/>
        <v>X</v>
      </c>
      <c r="U275" s="176">
        <f t="shared" si="192"/>
        <v>6.1199999999999992</v>
      </c>
      <c r="V275" s="178" t="str">
        <f t="shared" si="181"/>
        <v xml:space="preserve"> </v>
      </c>
      <c r="W275" s="176">
        <f t="shared" si="193"/>
        <v>0</v>
      </c>
      <c r="X275" s="178" t="str">
        <f t="shared" si="182"/>
        <v xml:space="preserve"> </v>
      </c>
      <c r="Y275" s="176">
        <f t="shared" si="194"/>
        <v>0</v>
      </c>
      <c r="Z275" s="178" t="s">
        <v>2581</v>
      </c>
      <c r="AA275" s="178" t="str">
        <f t="shared" si="183"/>
        <v>X</v>
      </c>
      <c r="AB275" s="176">
        <f t="shared" si="184"/>
        <v>2.89</v>
      </c>
      <c r="AC275" s="178" t="str">
        <f t="shared" si="185"/>
        <v xml:space="preserve"> </v>
      </c>
      <c r="AD275" s="176">
        <f t="shared" si="186"/>
        <v>0</v>
      </c>
      <c r="AE275" s="178" t="str">
        <f t="shared" si="187"/>
        <v xml:space="preserve"> </v>
      </c>
      <c r="AF275" s="176">
        <f t="shared" si="188"/>
        <v>0</v>
      </c>
      <c r="AG275" s="178" t="str">
        <f t="shared" si="189"/>
        <v/>
      </c>
      <c r="AH275" s="176">
        <f t="shared" si="190"/>
        <v>0</v>
      </c>
    </row>
    <row r="276" spans="2:34" ht="16.5" outlineLevel="1" x14ac:dyDescent="0.25">
      <c r="B276" s="175" t="s">
        <v>2754</v>
      </c>
      <c r="C276" s="176">
        <v>2.89</v>
      </c>
      <c r="D276" s="176">
        <v>6.8</v>
      </c>
      <c r="E276" s="194">
        <v>3</v>
      </c>
      <c r="F276" s="194">
        <v>2.1</v>
      </c>
      <c r="G276" s="194">
        <f t="shared" si="191"/>
        <v>0.89999999999999991</v>
      </c>
      <c r="H276" s="176"/>
      <c r="I276" s="178" t="str">
        <f t="shared" si="172"/>
        <v>X</v>
      </c>
      <c r="J276" s="176">
        <f t="shared" si="195"/>
        <v>20.399999999999999</v>
      </c>
      <c r="K276" s="178" t="str">
        <f t="shared" si="174"/>
        <v>X</v>
      </c>
      <c r="L276" s="176">
        <f t="shared" si="196"/>
        <v>14.28</v>
      </c>
      <c r="M276" s="178" t="str">
        <f t="shared" si="176"/>
        <v>X</v>
      </c>
      <c r="N276" s="177">
        <f t="shared" si="197"/>
        <v>6.1199999999999992</v>
      </c>
      <c r="O276" s="178" t="str">
        <f t="shared" si="178"/>
        <v>X</v>
      </c>
      <c r="P276" s="176">
        <f t="shared" si="198"/>
        <v>14.28</v>
      </c>
      <c r="Q276" s="178" t="s">
        <v>0</v>
      </c>
      <c r="R276" s="176"/>
      <c r="S276" s="178" t="s">
        <v>2578</v>
      </c>
      <c r="T276" s="178" t="str">
        <f t="shared" si="180"/>
        <v>X</v>
      </c>
      <c r="U276" s="176">
        <f t="shared" si="192"/>
        <v>6.1199999999999992</v>
      </c>
      <c r="V276" s="178" t="str">
        <f t="shared" si="181"/>
        <v xml:space="preserve"> </v>
      </c>
      <c r="W276" s="176">
        <f t="shared" si="193"/>
        <v>0</v>
      </c>
      <c r="X276" s="178" t="str">
        <f t="shared" si="182"/>
        <v xml:space="preserve"> </v>
      </c>
      <c r="Y276" s="176">
        <f t="shared" si="194"/>
        <v>0</v>
      </c>
      <c r="Z276" s="178" t="s">
        <v>2581</v>
      </c>
      <c r="AA276" s="178" t="str">
        <f t="shared" si="183"/>
        <v>X</v>
      </c>
      <c r="AB276" s="176">
        <f t="shared" si="184"/>
        <v>2.89</v>
      </c>
      <c r="AC276" s="178" t="str">
        <f t="shared" si="185"/>
        <v xml:space="preserve"> </v>
      </c>
      <c r="AD276" s="176">
        <f t="shared" si="186"/>
        <v>0</v>
      </c>
      <c r="AE276" s="178" t="str">
        <f t="shared" si="187"/>
        <v xml:space="preserve"> </v>
      </c>
      <c r="AF276" s="176">
        <f t="shared" si="188"/>
        <v>0</v>
      </c>
      <c r="AG276" s="178" t="str">
        <f t="shared" si="189"/>
        <v/>
      </c>
      <c r="AH276" s="176">
        <f t="shared" si="190"/>
        <v>0</v>
      </c>
    </row>
    <row r="277" spans="2:34" ht="16.5" outlineLevel="1" x14ac:dyDescent="0.25">
      <c r="B277" s="175" t="s">
        <v>2755</v>
      </c>
      <c r="C277" s="176">
        <v>17.91</v>
      </c>
      <c r="D277" s="176">
        <v>16.93</v>
      </c>
      <c r="E277" s="194">
        <v>3</v>
      </c>
      <c r="F277" s="194">
        <v>0</v>
      </c>
      <c r="G277" s="194">
        <f t="shared" si="191"/>
        <v>3</v>
      </c>
      <c r="H277" s="176"/>
      <c r="I277" s="178" t="str">
        <f t="shared" si="172"/>
        <v>X</v>
      </c>
      <c r="J277" s="176">
        <f t="shared" si="195"/>
        <v>50.79</v>
      </c>
      <c r="K277" s="178" t="str">
        <f t="shared" si="174"/>
        <v xml:space="preserve"> </v>
      </c>
      <c r="L277" s="176">
        <f t="shared" si="196"/>
        <v>0</v>
      </c>
      <c r="M277" s="178" t="str">
        <f t="shared" si="176"/>
        <v>X</v>
      </c>
      <c r="N277" s="177">
        <f t="shared" si="197"/>
        <v>50.79</v>
      </c>
      <c r="O277" s="178" t="str">
        <f t="shared" si="178"/>
        <v xml:space="preserve"> </v>
      </c>
      <c r="P277" s="176">
        <f t="shared" si="198"/>
        <v>0</v>
      </c>
      <c r="Q277" s="178" t="s">
        <v>0</v>
      </c>
      <c r="R277" s="176"/>
      <c r="S277" s="178" t="s">
        <v>2578</v>
      </c>
      <c r="T277" s="178" t="str">
        <f t="shared" si="180"/>
        <v>X</v>
      </c>
      <c r="U277" s="176">
        <f t="shared" si="192"/>
        <v>50.79</v>
      </c>
      <c r="V277" s="178" t="str">
        <f t="shared" si="181"/>
        <v xml:space="preserve"> </v>
      </c>
      <c r="W277" s="176">
        <f t="shared" si="193"/>
        <v>0</v>
      </c>
      <c r="X277" s="178" t="str">
        <f t="shared" si="182"/>
        <v xml:space="preserve"> </v>
      </c>
      <c r="Y277" s="176">
        <f t="shared" si="194"/>
        <v>0</v>
      </c>
      <c r="Z277" s="178" t="s">
        <v>2582</v>
      </c>
      <c r="AA277" s="178" t="str">
        <f t="shared" si="183"/>
        <v xml:space="preserve"> </v>
      </c>
      <c r="AB277" s="176">
        <f t="shared" si="184"/>
        <v>0</v>
      </c>
      <c r="AC277" s="178" t="str">
        <f t="shared" si="185"/>
        <v>X</v>
      </c>
      <c r="AD277" s="176">
        <f t="shared" si="186"/>
        <v>17.91</v>
      </c>
      <c r="AE277" s="178" t="str">
        <f t="shared" si="187"/>
        <v xml:space="preserve"> </v>
      </c>
      <c r="AF277" s="176">
        <f t="shared" si="188"/>
        <v>0</v>
      </c>
      <c r="AG277" s="178" t="str">
        <f t="shared" si="189"/>
        <v>X</v>
      </c>
      <c r="AH277" s="176">
        <f t="shared" si="190"/>
        <v>16.93</v>
      </c>
    </row>
    <row r="278" spans="2:34" ht="16.5" outlineLevel="1" x14ac:dyDescent="0.25">
      <c r="B278" s="175" t="s">
        <v>2756</v>
      </c>
      <c r="C278" s="176">
        <v>22.32</v>
      </c>
      <c r="D278" s="176">
        <v>19.45</v>
      </c>
      <c r="E278" s="194">
        <v>3</v>
      </c>
      <c r="F278" s="194">
        <v>0</v>
      </c>
      <c r="G278" s="194">
        <f t="shared" si="191"/>
        <v>3</v>
      </c>
      <c r="H278" s="176"/>
      <c r="I278" s="178" t="str">
        <f t="shared" si="172"/>
        <v>X</v>
      </c>
      <c r="J278" s="176">
        <f t="shared" si="195"/>
        <v>58.349999999999994</v>
      </c>
      <c r="K278" s="178" t="str">
        <f t="shared" si="174"/>
        <v xml:space="preserve"> </v>
      </c>
      <c r="L278" s="176">
        <f t="shared" si="196"/>
        <v>0</v>
      </c>
      <c r="M278" s="178" t="str">
        <f t="shared" si="176"/>
        <v>X</v>
      </c>
      <c r="N278" s="177">
        <f t="shared" si="197"/>
        <v>58.349999999999994</v>
      </c>
      <c r="O278" s="178" t="str">
        <f t="shared" si="178"/>
        <v xml:space="preserve"> </v>
      </c>
      <c r="P278" s="176">
        <f t="shared" si="198"/>
        <v>0</v>
      </c>
      <c r="Q278" s="178" t="s">
        <v>0</v>
      </c>
      <c r="R278" s="176"/>
      <c r="S278" s="178" t="s">
        <v>2579</v>
      </c>
      <c r="T278" s="178" t="str">
        <f t="shared" si="180"/>
        <v xml:space="preserve"> </v>
      </c>
      <c r="U278" s="176">
        <f t="shared" si="192"/>
        <v>0</v>
      </c>
      <c r="V278" s="178" t="str">
        <f t="shared" si="181"/>
        <v>X</v>
      </c>
      <c r="W278" s="176">
        <f t="shared" si="193"/>
        <v>58.349999999999994</v>
      </c>
      <c r="X278" s="178" t="str">
        <f t="shared" si="182"/>
        <v xml:space="preserve"> </v>
      </c>
      <c r="Y278" s="176">
        <f t="shared" si="194"/>
        <v>0</v>
      </c>
      <c r="Z278" s="178" t="s">
        <v>2581</v>
      </c>
      <c r="AA278" s="178" t="str">
        <f t="shared" si="183"/>
        <v>X</v>
      </c>
      <c r="AB278" s="176">
        <f t="shared" si="184"/>
        <v>22.32</v>
      </c>
      <c r="AC278" s="178" t="str">
        <f t="shared" si="185"/>
        <v xml:space="preserve"> </v>
      </c>
      <c r="AD278" s="176">
        <f t="shared" si="186"/>
        <v>0</v>
      </c>
      <c r="AE278" s="178" t="str">
        <f t="shared" si="187"/>
        <v xml:space="preserve"> </v>
      </c>
      <c r="AF278" s="176">
        <f t="shared" si="188"/>
        <v>0</v>
      </c>
      <c r="AG278" s="178" t="str">
        <f t="shared" si="189"/>
        <v>X</v>
      </c>
      <c r="AH278" s="176">
        <f t="shared" si="190"/>
        <v>19.45</v>
      </c>
    </row>
    <row r="279" spans="2:34" ht="16.5" outlineLevel="1" x14ac:dyDescent="0.25">
      <c r="B279" s="175" t="s">
        <v>2757</v>
      </c>
      <c r="C279" s="176">
        <v>9.33</v>
      </c>
      <c r="D279" s="176">
        <v>12.22</v>
      </c>
      <c r="E279" s="194">
        <v>3</v>
      </c>
      <c r="F279" s="194">
        <v>0</v>
      </c>
      <c r="G279" s="194">
        <f t="shared" si="191"/>
        <v>3</v>
      </c>
      <c r="H279" s="176"/>
      <c r="I279" s="178" t="str">
        <f t="shared" si="172"/>
        <v>X</v>
      </c>
      <c r="J279" s="176">
        <f t="shared" si="195"/>
        <v>36.660000000000004</v>
      </c>
      <c r="K279" s="178" t="str">
        <f t="shared" si="174"/>
        <v xml:space="preserve"> </v>
      </c>
      <c r="L279" s="176">
        <f t="shared" si="196"/>
        <v>0</v>
      </c>
      <c r="M279" s="178" t="str">
        <f t="shared" si="176"/>
        <v>X</v>
      </c>
      <c r="N279" s="177">
        <f t="shared" si="197"/>
        <v>36.660000000000004</v>
      </c>
      <c r="O279" s="178" t="str">
        <f t="shared" si="178"/>
        <v xml:space="preserve"> </v>
      </c>
      <c r="P279" s="176">
        <f t="shared" si="198"/>
        <v>0</v>
      </c>
      <c r="Q279" s="178" t="s">
        <v>0</v>
      </c>
      <c r="R279" s="176"/>
      <c r="S279" s="178" t="s">
        <v>2578</v>
      </c>
      <c r="T279" s="178" t="str">
        <f t="shared" si="180"/>
        <v>X</v>
      </c>
      <c r="U279" s="176">
        <f t="shared" si="192"/>
        <v>36.660000000000004</v>
      </c>
      <c r="V279" s="178" t="str">
        <f t="shared" si="181"/>
        <v xml:space="preserve"> </v>
      </c>
      <c r="W279" s="176">
        <f t="shared" si="193"/>
        <v>0</v>
      </c>
      <c r="X279" s="178" t="str">
        <f t="shared" si="182"/>
        <v xml:space="preserve"> </v>
      </c>
      <c r="Y279" s="176">
        <f t="shared" si="194"/>
        <v>0</v>
      </c>
      <c r="Z279" s="178" t="s">
        <v>2581</v>
      </c>
      <c r="AA279" s="178" t="str">
        <f t="shared" si="183"/>
        <v>X</v>
      </c>
      <c r="AB279" s="176">
        <f t="shared" si="184"/>
        <v>9.33</v>
      </c>
      <c r="AC279" s="178" t="str">
        <f t="shared" si="185"/>
        <v xml:space="preserve"> </v>
      </c>
      <c r="AD279" s="176">
        <f t="shared" si="186"/>
        <v>0</v>
      </c>
      <c r="AE279" s="178" t="str">
        <f t="shared" si="187"/>
        <v xml:space="preserve"> </v>
      </c>
      <c r="AF279" s="176">
        <f t="shared" si="188"/>
        <v>0</v>
      </c>
      <c r="AG279" s="178" t="str">
        <f t="shared" si="189"/>
        <v>X</v>
      </c>
      <c r="AH279" s="176">
        <f t="shared" si="190"/>
        <v>12.22</v>
      </c>
    </row>
    <row r="280" spans="2:34" ht="16.5" outlineLevel="1" x14ac:dyDescent="0.25">
      <c r="B280" s="175" t="s">
        <v>2758</v>
      </c>
      <c r="C280" s="176">
        <v>9.32</v>
      </c>
      <c r="D280" s="176">
        <v>12.24</v>
      </c>
      <c r="E280" s="194">
        <v>3</v>
      </c>
      <c r="F280" s="194">
        <v>0</v>
      </c>
      <c r="G280" s="194">
        <f t="shared" si="191"/>
        <v>3</v>
      </c>
      <c r="H280" s="176"/>
      <c r="I280" s="178" t="str">
        <f t="shared" si="172"/>
        <v>X</v>
      </c>
      <c r="J280" s="176">
        <f t="shared" si="195"/>
        <v>36.72</v>
      </c>
      <c r="K280" s="178" t="str">
        <f t="shared" si="174"/>
        <v xml:space="preserve"> </v>
      </c>
      <c r="L280" s="176">
        <f t="shared" si="196"/>
        <v>0</v>
      </c>
      <c r="M280" s="178" t="str">
        <f t="shared" si="176"/>
        <v>X</v>
      </c>
      <c r="N280" s="177">
        <f t="shared" si="197"/>
        <v>36.72</v>
      </c>
      <c r="O280" s="178" t="str">
        <f t="shared" si="178"/>
        <v xml:space="preserve"> </v>
      </c>
      <c r="P280" s="176">
        <f t="shared" si="198"/>
        <v>0</v>
      </c>
      <c r="Q280" s="178" t="s">
        <v>0</v>
      </c>
      <c r="R280" s="176"/>
      <c r="S280" s="178" t="s">
        <v>2578</v>
      </c>
      <c r="T280" s="178" t="str">
        <f t="shared" si="180"/>
        <v>X</v>
      </c>
      <c r="U280" s="176">
        <f t="shared" si="192"/>
        <v>36.72</v>
      </c>
      <c r="V280" s="178" t="str">
        <f t="shared" si="181"/>
        <v xml:space="preserve"> </v>
      </c>
      <c r="W280" s="176">
        <f t="shared" si="193"/>
        <v>0</v>
      </c>
      <c r="X280" s="178" t="str">
        <f t="shared" si="182"/>
        <v xml:space="preserve"> </v>
      </c>
      <c r="Y280" s="176">
        <f t="shared" si="194"/>
        <v>0</v>
      </c>
      <c r="Z280" s="178" t="s">
        <v>2581</v>
      </c>
      <c r="AA280" s="178" t="str">
        <f t="shared" si="183"/>
        <v>X</v>
      </c>
      <c r="AB280" s="176">
        <f t="shared" si="184"/>
        <v>9.32</v>
      </c>
      <c r="AC280" s="178" t="str">
        <f t="shared" si="185"/>
        <v xml:space="preserve"> </v>
      </c>
      <c r="AD280" s="176">
        <f t="shared" si="186"/>
        <v>0</v>
      </c>
      <c r="AE280" s="178" t="str">
        <f t="shared" si="187"/>
        <v xml:space="preserve"> </v>
      </c>
      <c r="AF280" s="176">
        <f t="shared" si="188"/>
        <v>0</v>
      </c>
      <c r="AG280" s="178" t="str">
        <f t="shared" si="189"/>
        <v>X</v>
      </c>
      <c r="AH280" s="176">
        <f t="shared" si="190"/>
        <v>12.24</v>
      </c>
    </row>
    <row r="281" spans="2:34" ht="16.5" outlineLevel="1" x14ac:dyDescent="0.25">
      <c r="B281" s="175" t="s">
        <v>2759</v>
      </c>
      <c r="C281" s="176">
        <v>10.31</v>
      </c>
      <c r="D281" s="176">
        <v>12.39</v>
      </c>
      <c r="E281" s="194">
        <v>3</v>
      </c>
      <c r="F281" s="194">
        <v>0</v>
      </c>
      <c r="G281" s="194">
        <f t="shared" si="191"/>
        <v>3</v>
      </c>
      <c r="H281" s="176"/>
      <c r="I281" s="178" t="str">
        <f t="shared" si="172"/>
        <v>X</v>
      </c>
      <c r="J281" s="176">
        <f t="shared" si="195"/>
        <v>37.17</v>
      </c>
      <c r="K281" s="178" t="str">
        <f t="shared" si="174"/>
        <v xml:space="preserve"> </v>
      </c>
      <c r="L281" s="176">
        <f t="shared" si="196"/>
        <v>0</v>
      </c>
      <c r="M281" s="178" t="str">
        <f t="shared" si="176"/>
        <v>X</v>
      </c>
      <c r="N281" s="177">
        <f t="shared" si="197"/>
        <v>37.17</v>
      </c>
      <c r="O281" s="178" t="str">
        <f t="shared" si="178"/>
        <v xml:space="preserve"> </v>
      </c>
      <c r="P281" s="176">
        <f t="shared" si="198"/>
        <v>0</v>
      </c>
      <c r="Q281" s="178" t="s">
        <v>0</v>
      </c>
      <c r="R281" s="176"/>
      <c r="S281" s="178" t="s">
        <v>2578</v>
      </c>
      <c r="T281" s="178" t="str">
        <f t="shared" si="180"/>
        <v>X</v>
      </c>
      <c r="U281" s="176">
        <f t="shared" si="192"/>
        <v>37.17</v>
      </c>
      <c r="V281" s="178" t="str">
        <f t="shared" si="181"/>
        <v xml:space="preserve"> </v>
      </c>
      <c r="W281" s="176">
        <f t="shared" si="193"/>
        <v>0</v>
      </c>
      <c r="X281" s="178" t="str">
        <f t="shared" si="182"/>
        <v xml:space="preserve"> </v>
      </c>
      <c r="Y281" s="176">
        <f t="shared" si="194"/>
        <v>0</v>
      </c>
      <c r="Z281" s="178" t="s">
        <v>2581</v>
      </c>
      <c r="AA281" s="178" t="str">
        <f t="shared" si="183"/>
        <v>X</v>
      </c>
      <c r="AB281" s="176">
        <f t="shared" si="184"/>
        <v>10.31</v>
      </c>
      <c r="AC281" s="178" t="str">
        <f t="shared" si="185"/>
        <v xml:space="preserve"> </v>
      </c>
      <c r="AD281" s="176">
        <f t="shared" si="186"/>
        <v>0</v>
      </c>
      <c r="AE281" s="178" t="str">
        <f t="shared" si="187"/>
        <v xml:space="preserve"> </v>
      </c>
      <c r="AF281" s="176">
        <f t="shared" si="188"/>
        <v>0</v>
      </c>
      <c r="AG281" s="178" t="str">
        <f t="shared" si="189"/>
        <v>X</v>
      </c>
      <c r="AH281" s="176">
        <f t="shared" si="190"/>
        <v>12.39</v>
      </c>
    </row>
    <row r="282" spans="2:34" ht="16.5" outlineLevel="1" x14ac:dyDescent="0.25">
      <c r="B282" s="175" t="s">
        <v>2760</v>
      </c>
      <c r="C282" s="176">
        <v>7.11</v>
      </c>
      <c r="D282" s="176">
        <v>10.74</v>
      </c>
      <c r="E282" s="194">
        <v>3</v>
      </c>
      <c r="F282" s="194">
        <v>0</v>
      </c>
      <c r="G282" s="194">
        <f t="shared" si="191"/>
        <v>3</v>
      </c>
      <c r="H282" s="176"/>
      <c r="I282" s="178" t="str">
        <f t="shared" si="172"/>
        <v>X</v>
      </c>
      <c r="J282" s="176">
        <f t="shared" si="195"/>
        <v>32.22</v>
      </c>
      <c r="K282" s="178" t="str">
        <f t="shared" si="174"/>
        <v xml:space="preserve"> </v>
      </c>
      <c r="L282" s="176">
        <f t="shared" si="196"/>
        <v>0</v>
      </c>
      <c r="M282" s="178" t="str">
        <f t="shared" si="176"/>
        <v>X</v>
      </c>
      <c r="N282" s="177">
        <f t="shared" si="197"/>
        <v>32.22</v>
      </c>
      <c r="O282" s="178" t="str">
        <f t="shared" si="178"/>
        <v xml:space="preserve"> </v>
      </c>
      <c r="P282" s="176">
        <f t="shared" si="198"/>
        <v>0</v>
      </c>
      <c r="Q282" s="178" t="s">
        <v>0</v>
      </c>
      <c r="R282" s="176"/>
      <c r="S282" s="178" t="s">
        <v>2578</v>
      </c>
      <c r="T282" s="178" t="str">
        <f t="shared" si="180"/>
        <v>X</v>
      </c>
      <c r="U282" s="176">
        <f t="shared" si="192"/>
        <v>32.22</v>
      </c>
      <c r="V282" s="178" t="str">
        <f t="shared" si="181"/>
        <v xml:space="preserve"> </v>
      </c>
      <c r="W282" s="176">
        <f t="shared" si="193"/>
        <v>0</v>
      </c>
      <c r="X282" s="178" t="str">
        <f t="shared" si="182"/>
        <v xml:space="preserve"> </v>
      </c>
      <c r="Y282" s="176">
        <f t="shared" si="194"/>
        <v>0</v>
      </c>
      <c r="Z282" s="178" t="s">
        <v>2581</v>
      </c>
      <c r="AA282" s="178" t="str">
        <f t="shared" si="183"/>
        <v>X</v>
      </c>
      <c r="AB282" s="176">
        <f t="shared" si="184"/>
        <v>7.11</v>
      </c>
      <c r="AC282" s="178" t="str">
        <f t="shared" si="185"/>
        <v xml:space="preserve"> </v>
      </c>
      <c r="AD282" s="176">
        <f t="shared" si="186"/>
        <v>0</v>
      </c>
      <c r="AE282" s="178" t="str">
        <f t="shared" si="187"/>
        <v xml:space="preserve"> </v>
      </c>
      <c r="AF282" s="176">
        <f t="shared" si="188"/>
        <v>0</v>
      </c>
      <c r="AG282" s="178" t="str">
        <f t="shared" si="189"/>
        <v>X</v>
      </c>
      <c r="AH282" s="176">
        <f t="shared" si="190"/>
        <v>10.74</v>
      </c>
    </row>
    <row r="283" spans="2:34" ht="16.5" outlineLevel="1" x14ac:dyDescent="0.25">
      <c r="B283" s="175" t="s">
        <v>2594</v>
      </c>
      <c r="C283" s="176">
        <v>65.3</v>
      </c>
      <c r="D283" s="176">
        <v>66</v>
      </c>
      <c r="E283" s="194">
        <v>3</v>
      </c>
      <c r="F283" s="194">
        <v>0</v>
      </c>
      <c r="G283" s="194">
        <f t="shared" si="191"/>
        <v>3</v>
      </c>
      <c r="H283" s="176"/>
      <c r="I283" s="178" t="str">
        <f t="shared" si="172"/>
        <v>X</v>
      </c>
      <c r="J283" s="176">
        <f t="shared" si="195"/>
        <v>198</v>
      </c>
      <c r="K283" s="178" t="str">
        <f t="shared" si="174"/>
        <v xml:space="preserve"> </v>
      </c>
      <c r="L283" s="176">
        <f t="shared" si="196"/>
        <v>0</v>
      </c>
      <c r="M283" s="178" t="str">
        <f t="shared" si="176"/>
        <v>X</v>
      </c>
      <c r="N283" s="177">
        <f t="shared" si="197"/>
        <v>198</v>
      </c>
      <c r="O283" s="178" t="str">
        <f t="shared" si="178"/>
        <v xml:space="preserve"> </v>
      </c>
      <c r="P283" s="176">
        <f t="shared" si="198"/>
        <v>0</v>
      </c>
      <c r="Q283" s="178" t="s">
        <v>0</v>
      </c>
      <c r="R283" s="176"/>
      <c r="S283" s="178" t="s">
        <v>2578</v>
      </c>
      <c r="T283" s="178" t="str">
        <f t="shared" si="180"/>
        <v>X</v>
      </c>
      <c r="U283" s="176">
        <f t="shared" si="192"/>
        <v>198</v>
      </c>
      <c r="V283" s="178" t="str">
        <f t="shared" si="181"/>
        <v xml:space="preserve"> </v>
      </c>
      <c r="W283" s="176">
        <f t="shared" si="193"/>
        <v>0</v>
      </c>
      <c r="X283" s="178" t="str">
        <f t="shared" si="182"/>
        <v xml:space="preserve"> </v>
      </c>
      <c r="Y283" s="176">
        <f t="shared" si="194"/>
        <v>0</v>
      </c>
      <c r="Z283" s="178" t="s">
        <v>2582</v>
      </c>
      <c r="AA283" s="178" t="str">
        <f t="shared" si="183"/>
        <v xml:space="preserve"> </v>
      </c>
      <c r="AB283" s="176">
        <f t="shared" si="184"/>
        <v>0</v>
      </c>
      <c r="AC283" s="178" t="str">
        <f t="shared" si="185"/>
        <v>X</v>
      </c>
      <c r="AD283" s="176">
        <f t="shared" si="186"/>
        <v>65.3</v>
      </c>
      <c r="AE283" s="178" t="str">
        <f t="shared" si="187"/>
        <v xml:space="preserve"> </v>
      </c>
      <c r="AF283" s="176">
        <f t="shared" si="188"/>
        <v>0</v>
      </c>
      <c r="AG283" s="178" t="str">
        <f t="shared" si="189"/>
        <v>X</v>
      </c>
      <c r="AH283" s="176">
        <f t="shared" si="190"/>
        <v>66</v>
      </c>
    </row>
    <row r="284" spans="2:34" ht="16.5" x14ac:dyDescent="0.25">
      <c r="B284" s="182"/>
      <c r="C284" s="185"/>
      <c r="D284" s="185"/>
      <c r="E284" s="185"/>
      <c r="F284" s="185"/>
      <c r="G284" s="185"/>
      <c r="H284" s="185"/>
      <c r="I284" s="184"/>
      <c r="J284" s="185"/>
      <c r="K284" s="184"/>
      <c r="L284" s="185"/>
      <c r="M284" s="184"/>
      <c r="N284" s="185"/>
      <c r="O284" s="201"/>
      <c r="P284" s="185"/>
      <c r="Q284" s="184"/>
      <c r="R284" s="189"/>
      <c r="S284" s="185"/>
      <c r="T284" s="184"/>
      <c r="U284" s="185"/>
      <c r="V284" s="184"/>
      <c r="W284" s="185"/>
      <c r="X284" s="184"/>
      <c r="Y284" s="189"/>
      <c r="Z284" s="185"/>
      <c r="AA284" s="184"/>
      <c r="AB284" s="185"/>
      <c r="AC284" s="184"/>
      <c r="AD284" s="185"/>
      <c r="AE284" s="184"/>
      <c r="AF284" s="189"/>
      <c r="AG284" s="184"/>
      <c r="AH284" s="189"/>
    </row>
    <row r="285" spans="2:34" ht="16.5" x14ac:dyDescent="0.25">
      <c r="B285" s="929" t="s">
        <v>2761</v>
      </c>
      <c r="C285" s="930"/>
      <c r="D285" s="930"/>
      <c r="E285" s="930"/>
      <c r="F285" s="930"/>
      <c r="G285" s="930"/>
      <c r="H285" s="931"/>
      <c r="I285" s="190" t="s">
        <v>2586</v>
      </c>
      <c r="J285" s="191">
        <f>SUBTOTAL(9,J286:J320)</f>
        <v>1989.7800000000007</v>
      </c>
      <c r="K285" s="192" t="s">
        <v>2586</v>
      </c>
      <c r="L285" s="191">
        <f>SUBTOTAL(9,L286:L320)</f>
        <v>138.70500000000001</v>
      </c>
      <c r="M285" s="190" t="s">
        <v>2586</v>
      </c>
      <c r="N285" s="200">
        <f>SUBTOTAL(9,N286:N320)</f>
        <v>1851.0750000000007</v>
      </c>
      <c r="O285" s="190" t="s">
        <v>2586</v>
      </c>
      <c r="P285" s="191">
        <f>SUBTOTAL(9,P286:P320)</f>
        <v>138.70500000000001</v>
      </c>
      <c r="Q285" s="190" t="s">
        <v>2586</v>
      </c>
      <c r="R285" s="191">
        <f>SUBTOTAL(9,R286:R320)</f>
        <v>0</v>
      </c>
      <c r="S285" s="191"/>
      <c r="T285" s="190" t="s">
        <v>2586</v>
      </c>
      <c r="U285" s="200">
        <f>SUBTOTAL(9,U286:U320)</f>
        <v>59.445</v>
      </c>
      <c r="V285" s="190" t="s">
        <v>2586</v>
      </c>
      <c r="W285" s="191">
        <f>SUBTOTAL(9,W286:W320)</f>
        <v>1791.6300000000008</v>
      </c>
      <c r="X285" s="190" t="s">
        <v>2586</v>
      </c>
      <c r="Y285" s="191">
        <f>SUBTOTAL(9,Y286:Y320)</f>
        <v>0</v>
      </c>
      <c r="Z285" s="191"/>
      <c r="AA285" s="190" t="s">
        <v>2586</v>
      </c>
      <c r="AB285" s="200">
        <f>SUBTOTAL(9,AB286:AB320)</f>
        <v>564.21</v>
      </c>
      <c r="AC285" s="190" t="s">
        <v>2586</v>
      </c>
      <c r="AD285" s="191">
        <f>SUBTOTAL(9,AD286:AD320)</f>
        <v>218.95999999999998</v>
      </c>
      <c r="AE285" s="190" t="s">
        <v>2586</v>
      </c>
      <c r="AF285" s="191">
        <f>SUBTOTAL(9,AF286:AF320)</f>
        <v>0</v>
      </c>
      <c r="AG285" s="190" t="s">
        <v>2586</v>
      </c>
      <c r="AH285" s="191">
        <f>SUBTOTAL(9,AH286:AH320)</f>
        <v>597.20999999999992</v>
      </c>
    </row>
    <row r="286" spans="2:34" ht="16.5" outlineLevel="1" x14ac:dyDescent="0.25">
      <c r="B286" s="175" t="s">
        <v>2762</v>
      </c>
      <c r="C286" s="176">
        <v>12.48</v>
      </c>
      <c r="D286" s="176">
        <v>14.35</v>
      </c>
      <c r="E286" s="194">
        <v>3</v>
      </c>
      <c r="F286" s="194">
        <v>0</v>
      </c>
      <c r="G286" s="194">
        <f>E286-F286</f>
        <v>3</v>
      </c>
      <c r="H286" s="176"/>
      <c r="I286" s="178" t="str">
        <f t="shared" ref="I286:I320" si="199">IF($E286&gt;0,"X"," ")</f>
        <v>X</v>
      </c>
      <c r="J286" s="176">
        <f t="shared" ref="J286:J312" si="200">IF(I286="X",($D286-H286)*E286,0)</f>
        <v>43.05</v>
      </c>
      <c r="K286" s="178" t="str">
        <f t="shared" ref="K286:K320" si="201">IF($F286&gt;0,"X"," ")</f>
        <v xml:space="preserve"> </v>
      </c>
      <c r="L286" s="176">
        <f t="shared" ref="L286:L296" si="202">IF(K286="X",($D286-H286)*F286,0)</f>
        <v>0</v>
      </c>
      <c r="M286" s="178" t="str">
        <f t="shared" ref="M286:M320" si="203">IF($E286&gt;0,"X"," ")</f>
        <v>X</v>
      </c>
      <c r="N286" s="177">
        <f t="shared" ref="N286:N312" si="204">IF(M286="X",J286-L286,0)</f>
        <v>43.05</v>
      </c>
      <c r="O286" s="178" t="str">
        <f t="shared" ref="O286:O320" si="205">IF($F286&gt;0,"X"," ")</f>
        <v xml:space="preserve"> </v>
      </c>
      <c r="P286" s="176">
        <f t="shared" ref="P286:P312" si="206">IF(L286&gt;0,L286,0)</f>
        <v>0</v>
      </c>
      <c r="Q286" s="178" t="s">
        <v>0</v>
      </c>
      <c r="R286" s="176"/>
      <c r="S286" s="178" t="s">
        <v>2579</v>
      </c>
      <c r="T286" s="178" t="str">
        <f t="shared" ref="T286:T320" si="207">IF($S286="ACRÍLICA","X"," ")</f>
        <v xml:space="preserve"> </v>
      </c>
      <c r="U286" s="176">
        <f>IF(T286="X",$N286,0)</f>
        <v>0</v>
      </c>
      <c r="V286" s="178" t="str">
        <f t="shared" ref="V286:V320" si="208">IF($S286="EPÓXI","X"," ")</f>
        <v>X</v>
      </c>
      <c r="W286" s="176">
        <f>IF(V286="X",$N286,0)</f>
        <v>43.05</v>
      </c>
      <c r="X286" s="178" t="str">
        <f t="shared" ref="X286:X320" si="209">IF($S286="TEXTURA","X"," ")</f>
        <v xml:space="preserve"> </v>
      </c>
      <c r="Y286" s="176">
        <f>IF(X286="X",$N286,0)</f>
        <v>0</v>
      </c>
      <c r="Z286" s="178" t="s">
        <v>2581</v>
      </c>
      <c r="AA286" s="178" t="str">
        <f t="shared" ref="AA286:AA320" si="210">IF($Z286="ACARTONADO","X"," ")</f>
        <v>X</v>
      </c>
      <c r="AB286" s="176">
        <f t="shared" ref="AB286:AB320" si="211">IF(AA286="X",$C286,0)</f>
        <v>12.48</v>
      </c>
      <c r="AC286" s="178" t="str">
        <f t="shared" ref="AC286:AC320" si="212">IF($Z286="MINERAL","X"," ")</f>
        <v xml:space="preserve"> </v>
      </c>
      <c r="AD286" s="176">
        <f t="shared" ref="AD286:AD320" si="213">IF(AC286="X",$C286,0)</f>
        <v>0</v>
      </c>
      <c r="AE286" s="178" t="str">
        <f t="shared" ref="AE286:AE320" si="214">IF($Z286="LAJE","X"," ")</f>
        <v xml:space="preserve"> </v>
      </c>
      <c r="AF286" s="176">
        <f t="shared" ref="AF286:AF320" si="215">IF(AE286="X",$C286,0)</f>
        <v>0</v>
      </c>
      <c r="AG286" s="178" t="str">
        <f t="shared" ref="AG286:AG320" si="216">IF(K286="X","","X")</f>
        <v>X</v>
      </c>
      <c r="AH286" s="176">
        <f t="shared" ref="AH286:AH320" si="217">IF(AG286="X",$D286-H286,0)</f>
        <v>14.35</v>
      </c>
    </row>
    <row r="287" spans="2:34" ht="16.5" outlineLevel="1" x14ac:dyDescent="0.25">
      <c r="B287" s="175" t="s">
        <v>2591</v>
      </c>
      <c r="C287" s="176">
        <v>3.96</v>
      </c>
      <c r="D287" s="176">
        <v>8.1</v>
      </c>
      <c r="E287" s="194">
        <v>3</v>
      </c>
      <c r="F287" s="194">
        <v>0</v>
      </c>
      <c r="G287" s="194">
        <f t="shared" ref="G287:G320" si="218">E287-F287</f>
        <v>3</v>
      </c>
      <c r="H287" s="176"/>
      <c r="I287" s="178" t="str">
        <f t="shared" si="199"/>
        <v>X</v>
      </c>
      <c r="J287" s="176">
        <f t="shared" si="200"/>
        <v>24.299999999999997</v>
      </c>
      <c r="K287" s="178" t="str">
        <f t="shared" si="201"/>
        <v xml:space="preserve"> </v>
      </c>
      <c r="L287" s="176">
        <f t="shared" si="202"/>
        <v>0</v>
      </c>
      <c r="M287" s="178" t="str">
        <f t="shared" si="203"/>
        <v>X</v>
      </c>
      <c r="N287" s="177">
        <f t="shared" si="204"/>
        <v>24.299999999999997</v>
      </c>
      <c r="O287" s="178" t="str">
        <f t="shared" si="205"/>
        <v xml:space="preserve"> </v>
      </c>
      <c r="P287" s="176">
        <f t="shared" si="206"/>
        <v>0</v>
      </c>
      <c r="Q287" s="178" t="s">
        <v>0</v>
      </c>
      <c r="R287" s="176"/>
      <c r="S287" s="178" t="s">
        <v>2579</v>
      </c>
      <c r="T287" s="178" t="str">
        <f t="shared" si="207"/>
        <v xml:space="preserve"> </v>
      </c>
      <c r="U287" s="176">
        <f t="shared" ref="U287:U320" si="219">IF(T287="X",$N287,0)</f>
        <v>0</v>
      </c>
      <c r="V287" s="178" t="str">
        <f t="shared" si="208"/>
        <v>X</v>
      </c>
      <c r="W287" s="176">
        <f t="shared" ref="W287:W320" si="220">IF(V287="X",$N287,0)</f>
        <v>24.299999999999997</v>
      </c>
      <c r="X287" s="178" t="str">
        <f t="shared" si="209"/>
        <v xml:space="preserve"> </v>
      </c>
      <c r="Y287" s="176">
        <f t="shared" ref="Y287:Y320" si="221">IF(X287="X",$N287,0)</f>
        <v>0</v>
      </c>
      <c r="Z287" s="178" t="s">
        <v>2581</v>
      </c>
      <c r="AA287" s="178" t="str">
        <f t="shared" si="210"/>
        <v>X</v>
      </c>
      <c r="AB287" s="176">
        <f t="shared" si="211"/>
        <v>3.96</v>
      </c>
      <c r="AC287" s="178" t="str">
        <f t="shared" si="212"/>
        <v xml:space="preserve"> </v>
      </c>
      <c r="AD287" s="176">
        <f t="shared" si="213"/>
        <v>0</v>
      </c>
      <c r="AE287" s="178" t="str">
        <f t="shared" si="214"/>
        <v xml:space="preserve"> </v>
      </c>
      <c r="AF287" s="176">
        <f t="shared" si="215"/>
        <v>0</v>
      </c>
      <c r="AG287" s="178" t="str">
        <f t="shared" si="216"/>
        <v>X</v>
      </c>
      <c r="AH287" s="176">
        <f t="shared" si="217"/>
        <v>8.1</v>
      </c>
    </row>
    <row r="288" spans="2:34" ht="16.5" outlineLevel="1" x14ac:dyDescent="0.25">
      <c r="B288" s="175" t="s">
        <v>2607</v>
      </c>
      <c r="C288" s="176">
        <v>21.82</v>
      </c>
      <c r="D288" s="176">
        <v>18.899999999999999</v>
      </c>
      <c r="E288" s="194">
        <v>3</v>
      </c>
      <c r="F288" s="194">
        <v>0</v>
      </c>
      <c r="G288" s="194">
        <f t="shared" si="218"/>
        <v>3</v>
      </c>
      <c r="H288" s="176"/>
      <c r="I288" s="178" t="str">
        <f t="shared" si="199"/>
        <v>X</v>
      </c>
      <c r="J288" s="176">
        <f t="shared" si="200"/>
        <v>56.699999999999996</v>
      </c>
      <c r="K288" s="178" t="str">
        <f t="shared" si="201"/>
        <v xml:space="preserve"> </v>
      </c>
      <c r="L288" s="176">
        <f t="shared" si="202"/>
        <v>0</v>
      </c>
      <c r="M288" s="178" t="str">
        <f t="shared" si="203"/>
        <v>X</v>
      </c>
      <c r="N288" s="177">
        <f t="shared" si="204"/>
        <v>56.699999999999996</v>
      </c>
      <c r="O288" s="178" t="str">
        <f t="shared" si="205"/>
        <v xml:space="preserve"> </v>
      </c>
      <c r="P288" s="176">
        <f t="shared" si="206"/>
        <v>0</v>
      </c>
      <c r="Q288" s="178" t="s">
        <v>0</v>
      </c>
      <c r="R288" s="176"/>
      <c r="S288" s="178" t="s">
        <v>2579</v>
      </c>
      <c r="T288" s="178" t="str">
        <f t="shared" si="207"/>
        <v xml:space="preserve"> </v>
      </c>
      <c r="U288" s="176">
        <f t="shared" si="219"/>
        <v>0</v>
      </c>
      <c r="V288" s="178" t="str">
        <f t="shared" si="208"/>
        <v>X</v>
      </c>
      <c r="W288" s="176">
        <f t="shared" si="220"/>
        <v>56.699999999999996</v>
      </c>
      <c r="X288" s="178" t="str">
        <f t="shared" si="209"/>
        <v xml:space="preserve"> </v>
      </c>
      <c r="Y288" s="176">
        <f t="shared" si="221"/>
        <v>0</v>
      </c>
      <c r="Z288" s="178" t="s">
        <v>2582</v>
      </c>
      <c r="AA288" s="178" t="str">
        <f t="shared" si="210"/>
        <v xml:space="preserve"> </v>
      </c>
      <c r="AB288" s="176">
        <f t="shared" si="211"/>
        <v>0</v>
      </c>
      <c r="AC288" s="178" t="str">
        <f t="shared" si="212"/>
        <v>X</v>
      </c>
      <c r="AD288" s="176">
        <f t="shared" si="213"/>
        <v>21.82</v>
      </c>
      <c r="AE288" s="178" t="str">
        <f t="shared" si="214"/>
        <v xml:space="preserve"> </v>
      </c>
      <c r="AF288" s="176">
        <f t="shared" si="215"/>
        <v>0</v>
      </c>
      <c r="AG288" s="178" t="str">
        <f t="shared" si="216"/>
        <v>X</v>
      </c>
      <c r="AH288" s="176">
        <f t="shared" si="217"/>
        <v>18.899999999999999</v>
      </c>
    </row>
    <row r="289" spans="2:34" ht="16.5" outlineLevel="1" x14ac:dyDescent="0.25">
      <c r="B289" s="175" t="s">
        <v>2763</v>
      </c>
      <c r="C289" s="176">
        <v>17.989999999999998</v>
      </c>
      <c r="D289" s="176">
        <v>17.3</v>
      </c>
      <c r="E289" s="194">
        <v>3</v>
      </c>
      <c r="F289" s="194">
        <v>0</v>
      </c>
      <c r="G289" s="194">
        <f t="shared" si="218"/>
        <v>3</v>
      </c>
      <c r="H289" s="176"/>
      <c r="I289" s="178" t="str">
        <f t="shared" si="199"/>
        <v>X</v>
      </c>
      <c r="J289" s="176">
        <f t="shared" si="200"/>
        <v>51.900000000000006</v>
      </c>
      <c r="K289" s="178" t="str">
        <f t="shared" si="201"/>
        <v xml:space="preserve"> </v>
      </c>
      <c r="L289" s="176">
        <f t="shared" si="202"/>
        <v>0</v>
      </c>
      <c r="M289" s="178" t="str">
        <f t="shared" si="203"/>
        <v>X</v>
      </c>
      <c r="N289" s="177">
        <f t="shared" si="204"/>
        <v>51.900000000000006</v>
      </c>
      <c r="O289" s="178" t="str">
        <f t="shared" si="205"/>
        <v xml:space="preserve"> </v>
      </c>
      <c r="P289" s="176">
        <f t="shared" si="206"/>
        <v>0</v>
      </c>
      <c r="Q289" s="178" t="s">
        <v>0</v>
      </c>
      <c r="R289" s="176"/>
      <c r="S289" s="178" t="s">
        <v>2579</v>
      </c>
      <c r="T289" s="178" t="str">
        <f t="shared" si="207"/>
        <v xml:space="preserve"> </v>
      </c>
      <c r="U289" s="176">
        <f t="shared" si="219"/>
        <v>0</v>
      </c>
      <c r="V289" s="178" t="str">
        <f t="shared" si="208"/>
        <v>X</v>
      </c>
      <c r="W289" s="176">
        <f t="shared" si="220"/>
        <v>51.900000000000006</v>
      </c>
      <c r="X289" s="178" t="str">
        <f t="shared" si="209"/>
        <v xml:space="preserve"> </v>
      </c>
      <c r="Y289" s="176">
        <f t="shared" si="221"/>
        <v>0</v>
      </c>
      <c r="Z289" s="178" t="s">
        <v>2581</v>
      </c>
      <c r="AA289" s="178" t="str">
        <f t="shared" si="210"/>
        <v>X</v>
      </c>
      <c r="AB289" s="176">
        <f t="shared" si="211"/>
        <v>17.989999999999998</v>
      </c>
      <c r="AC289" s="178" t="str">
        <f t="shared" si="212"/>
        <v xml:space="preserve"> </v>
      </c>
      <c r="AD289" s="176">
        <f t="shared" si="213"/>
        <v>0</v>
      </c>
      <c r="AE289" s="178" t="str">
        <f t="shared" si="214"/>
        <v xml:space="preserve"> </v>
      </c>
      <c r="AF289" s="176">
        <f t="shared" si="215"/>
        <v>0</v>
      </c>
      <c r="AG289" s="178" t="str">
        <f t="shared" si="216"/>
        <v>X</v>
      </c>
      <c r="AH289" s="176">
        <f t="shared" si="217"/>
        <v>17.3</v>
      </c>
    </row>
    <row r="290" spans="2:34" ht="16.5" outlineLevel="1" x14ac:dyDescent="0.25">
      <c r="B290" s="175" t="s">
        <v>2764</v>
      </c>
      <c r="C290" s="176">
        <v>17.989999999999998</v>
      </c>
      <c r="D290" s="176">
        <v>17.3</v>
      </c>
      <c r="E290" s="194">
        <v>3</v>
      </c>
      <c r="F290" s="194">
        <v>0</v>
      </c>
      <c r="G290" s="194">
        <f t="shared" si="218"/>
        <v>3</v>
      </c>
      <c r="H290" s="176"/>
      <c r="I290" s="178" t="str">
        <f t="shared" si="199"/>
        <v>X</v>
      </c>
      <c r="J290" s="176">
        <f t="shared" si="200"/>
        <v>51.900000000000006</v>
      </c>
      <c r="K290" s="178" t="str">
        <f t="shared" si="201"/>
        <v xml:space="preserve"> </v>
      </c>
      <c r="L290" s="176">
        <f t="shared" si="202"/>
        <v>0</v>
      </c>
      <c r="M290" s="178" t="str">
        <f t="shared" si="203"/>
        <v>X</v>
      </c>
      <c r="N290" s="177">
        <f t="shared" si="204"/>
        <v>51.900000000000006</v>
      </c>
      <c r="O290" s="178" t="str">
        <f t="shared" si="205"/>
        <v xml:space="preserve"> </v>
      </c>
      <c r="P290" s="176">
        <f t="shared" si="206"/>
        <v>0</v>
      </c>
      <c r="Q290" s="178" t="s">
        <v>0</v>
      </c>
      <c r="R290" s="176"/>
      <c r="S290" s="178" t="s">
        <v>2579</v>
      </c>
      <c r="T290" s="178" t="str">
        <f t="shared" si="207"/>
        <v xml:space="preserve"> </v>
      </c>
      <c r="U290" s="176">
        <f t="shared" si="219"/>
        <v>0</v>
      </c>
      <c r="V290" s="178" t="str">
        <f t="shared" si="208"/>
        <v>X</v>
      </c>
      <c r="W290" s="176">
        <f t="shared" si="220"/>
        <v>51.900000000000006</v>
      </c>
      <c r="X290" s="178" t="str">
        <f t="shared" si="209"/>
        <v xml:space="preserve"> </v>
      </c>
      <c r="Y290" s="176">
        <f t="shared" si="221"/>
        <v>0</v>
      </c>
      <c r="Z290" s="178" t="s">
        <v>2581</v>
      </c>
      <c r="AA290" s="178" t="str">
        <f t="shared" si="210"/>
        <v>X</v>
      </c>
      <c r="AB290" s="176">
        <f t="shared" si="211"/>
        <v>17.989999999999998</v>
      </c>
      <c r="AC290" s="178" t="str">
        <f t="shared" si="212"/>
        <v xml:space="preserve"> </v>
      </c>
      <c r="AD290" s="176">
        <f t="shared" si="213"/>
        <v>0</v>
      </c>
      <c r="AE290" s="178" t="str">
        <f t="shared" si="214"/>
        <v xml:space="preserve"> </v>
      </c>
      <c r="AF290" s="176">
        <f t="shared" si="215"/>
        <v>0</v>
      </c>
      <c r="AG290" s="178" t="str">
        <f t="shared" si="216"/>
        <v>X</v>
      </c>
      <c r="AH290" s="176">
        <f t="shared" si="217"/>
        <v>17.3</v>
      </c>
    </row>
    <row r="291" spans="2:34" ht="16.5" outlineLevel="1" x14ac:dyDescent="0.25">
      <c r="B291" s="175" t="s">
        <v>2660</v>
      </c>
      <c r="C291" s="176">
        <v>2.16</v>
      </c>
      <c r="D291" s="176">
        <v>6</v>
      </c>
      <c r="E291" s="194">
        <v>3</v>
      </c>
      <c r="F291" s="194">
        <v>2.1</v>
      </c>
      <c r="G291" s="194">
        <f t="shared" si="218"/>
        <v>0.89999999999999991</v>
      </c>
      <c r="H291" s="176"/>
      <c r="I291" s="178" t="str">
        <f t="shared" si="199"/>
        <v>X</v>
      </c>
      <c r="J291" s="176">
        <f t="shared" si="200"/>
        <v>18</v>
      </c>
      <c r="K291" s="178" t="str">
        <f t="shared" si="201"/>
        <v>X</v>
      </c>
      <c r="L291" s="176">
        <f t="shared" si="202"/>
        <v>12.600000000000001</v>
      </c>
      <c r="M291" s="178" t="str">
        <f t="shared" si="203"/>
        <v>X</v>
      </c>
      <c r="N291" s="177">
        <f t="shared" si="204"/>
        <v>5.3999999999999986</v>
      </c>
      <c r="O291" s="178" t="str">
        <f t="shared" si="205"/>
        <v>X</v>
      </c>
      <c r="P291" s="176">
        <f t="shared" si="206"/>
        <v>12.600000000000001</v>
      </c>
      <c r="Q291" s="178" t="s">
        <v>0</v>
      </c>
      <c r="R291" s="176"/>
      <c r="S291" s="178" t="s">
        <v>2578</v>
      </c>
      <c r="T291" s="178" t="str">
        <f t="shared" si="207"/>
        <v>X</v>
      </c>
      <c r="U291" s="176">
        <f t="shared" si="219"/>
        <v>5.3999999999999986</v>
      </c>
      <c r="V291" s="178" t="str">
        <f t="shared" si="208"/>
        <v xml:space="preserve"> </v>
      </c>
      <c r="W291" s="176">
        <f t="shared" si="220"/>
        <v>0</v>
      </c>
      <c r="X291" s="178" t="str">
        <f t="shared" si="209"/>
        <v xml:space="preserve"> </v>
      </c>
      <c r="Y291" s="176">
        <f t="shared" si="221"/>
        <v>0</v>
      </c>
      <c r="Z291" s="178" t="s">
        <v>2581</v>
      </c>
      <c r="AA291" s="178" t="str">
        <f t="shared" si="210"/>
        <v>X</v>
      </c>
      <c r="AB291" s="176">
        <f t="shared" si="211"/>
        <v>2.16</v>
      </c>
      <c r="AC291" s="178" t="str">
        <f t="shared" si="212"/>
        <v xml:space="preserve"> </v>
      </c>
      <c r="AD291" s="176">
        <f t="shared" si="213"/>
        <v>0</v>
      </c>
      <c r="AE291" s="178" t="str">
        <f t="shared" si="214"/>
        <v xml:space="preserve"> </v>
      </c>
      <c r="AF291" s="176">
        <f t="shared" si="215"/>
        <v>0</v>
      </c>
      <c r="AG291" s="178" t="str">
        <f t="shared" si="216"/>
        <v/>
      </c>
      <c r="AH291" s="176">
        <f t="shared" si="217"/>
        <v>0</v>
      </c>
    </row>
    <row r="292" spans="2:34" ht="16.5" outlineLevel="1" x14ac:dyDescent="0.25">
      <c r="B292" s="175" t="s">
        <v>2661</v>
      </c>
      <c r="C292" s="176">
        <v>2.65</v>
      </c>
      <c r="D292" s="176">
        <v>7.4</v>
      </c>
      <c r="E292" s="194">
        <v>3</v>
      </c>
      <c r="F292" s="194">
        <v>2.1</v>
      </c>
      <c r="G292" s="194">
        <f t="shared" si="218"/>
        <v>0.89999999999999991</v>
      </c>
      <c r="H292" s="176"/>
      <c r="I292" s="178" t="str">
        <f t="shared" si="199"/>
        <v>X</v>
      </c>
      <c r="J292" s="176">
        <f t="shared" si="200"/>
        <v>22.200000000000003</v>
      </c>
      <c r="K292" s="178" t="str">
        <f t="shared" si="201"/>
        <v>X</v>
      </c>
      <c r="L292" s="176">
        <f t="shared" si="202"/>
        <v>15.540000000000001</v>
      </c>
      <c r="M292" s="178" t="str">
        <f t="shared" si="203"/>
        <v>X</v>
      </c>
      <c r="N292" s="177">
        <f t="shared" si="204"/>
        <v>6.6600000000000019</v>
      </c>
      <c r="O292" s="178" t="str">
        <f t="shared" si="205"/>
        <v>X</v>
      </c>
      <c r="P292" s="176">
        <f t="shared" si="206"/>
        <v>15.540000000000001</v>
      </c>
      <c r="Q292" s="178" t="s">
        <v>0</v>
      </c>
      <c r="R292" s="176"/>
      <c r="S292" s="178" t="s">
        <v>2578</v>
      </c>
      <c r="T292" s="178" t="str">
        <f t="shared" si="207"/>
        <v>X</v>
      </c>
      <c r="U292" s="176">
        <f t="shared" si="219"/>
        <v>6.6600000000000019</v>
      </c>
      <c r="V292" s="178" t="str">
        <f t="shared" si="208"/>
        <v xml:space="preserve"> </v>
      </c>
      <c r="W292" s="176">
        <f t="shared" si="220"/>
        <v>0</v>
      </c>
      <c r="X292" s="178" t="str">
        <f t="shared" si="209"/>
        <v xml:space="preserve"> </v>
      </c>
      <c r="Y292" s="176">
        <f t="shared" si="221"/>
        <v>0</v>
      </c>
      <c r="Z292" s="178" t="s">
        <v>2581</v>
      </c>
      <c r="AA292" s="178" t="str">
        <f t="shared" si="210"/>
        <v>X</v>
      </c>
      <c r="AB292" s="176">
        <f t="shared" si="211"/>
        <v>2.65</v>
      </c>
      <c r="AC292" s="178" t="str">
        <f t="shared" si="212"/>
        <v xml:space="preserve"> </v>
      </c>
      <c r="AD292" s="176">
        <f t="shared" si="213"/>
        <v>0</v>
      </c>
      <c r="AE292" s="178" t="str">
        <f t="shared" si="214"/>
        <v xml:space="preserve"> </v>
      </c>
      <c r="AF292" s="176">
        <f t="shared" si="215"/>
        <v>0</v>
      </c>
      <c r="AG292" s="178" t="str">
        <f t="shared" si="216"/>
        <v/>
      </c>
      <c r="AH292" s="176">
        <f t="shared" si="217"/>
        <v>0</v>
      </c>
    </row>
    <row r="293" spans="2:34" ht="16.5" outlineLevel="1" x14ac:dyDescent="0.25">
      <c r="B293" s="175" t="s">
        <v>2611</v>
      </c>
      <c r="C293" s="176">
        <v>3.48</v>
      </c>
      <c r="D293" s="176">
        <v>8.1999999999999993</v>
      </c>
      <c r="E293" s="194">
        <v>3</v>
      </c>
      <c r="F293" s="194">
        <v>0</v>
      </c>
      <c r="G293" s="194">
        <f t="shared" si="218"/>
        <v>3</v>
      </c>
      <c r="H293" s="176"/>
      <c r="I293" s="178" t="str">
        <f t="shared" si="199"/>
        <v>X</v>
      </c>
      <c r="J293" s="176">
        <f t="shared" si="200"/>
        <v>24.599999999999998</v>
      </c>
      <c r="K293" s="178" t="str">
        <f t="shared" si="201"/>
        <v xml:space="preserve"> </v>
      </c>
      <c r="L293" s="176">
        <f t="shared" si="202"/>
        <v>0</v>
      </c>
      <c r="M293" s="178" t="str">
        <f t="shared" si="203"/>
        <v>X</v>
      </c>
      <c r="N293" s="177">
        <f t="shared" si="204"/>
        <v>24.599999999999998</v>
      </c>
      <c r="O293" s="178" t="str">
        <f t="shared" si="205"/>
        <v xml:space="preserve"> </v>
      </c>
      <c r="P293" s="176">
        <f t="shared" si="206"/>
        <v>0</v>
      </c>
      <c r="Q293" s="178" t="s">
        <v>0</v>
      </c>
      <c r="R293" s="176"/>
      <c r="S293" s="178" t="s">
        <v>2579</v>
      </c>
      <c r="T293" s="178" t="str">
        <f t="shared" si="207"/>
        <v xml:space="preserve"> </v>
      </c>
      <c r="U293" s="176">
        <f t="shared" si="219"/>
        <v>0</v>
      </c>
      <c r="V293" s="178" t="str">
        <f t="shared" si="208"/>
        <v>X</v>
      </c>
      <c r="W293" s="176">
        <f t="shared" si="220"/>
        <v>24.599999999999998</v>
      </c>
      <c r="X293" s="178" t="str">
        <f t="shared" si="209"/>
        <v xml:space="preserve"> </v>
      </c>
      <c r="Y293" s="176">
        <f t="shared" si="221"/>
        <v>0</v>
      </c>
      <c r="Z293" s="178" t="s">
        <v>2581</v>
      </c>
      <c r="AA293" s="178" t="str">
        <f t="shared" si="210"/>
        <v>X</v>
      </c>
      <c r="AB293" s="176">
        <f t="shared" si="211"/>
        <v>3.48</v>
      </c>
      <c r="AC293" s="178" t="str">
        <f t="shared" si="212"/>
        <v xml:space="preserve"> </v>
      </c>
      <c r="AD293" s="176">
        <f t="shared" si="213"/>
        <v>0</v>
      </c>
      <c r="AE293" s="178" t="str">
        <f t="shared" si="214"/>
        <v xml:space="preserve"> </v>
      </c>
      <c r="AF293" s="176">
        <f t="shared" si="215"/>
        <v>0</v>
      </c>
      <c r="AG293" s="178" t="str">
        <f t="shared" si="216"/>
        <v>X</v>
      </c>
      <c r="AH293" s="176">
        <f t="shared" si="217"/>
        <v>8.1999999999999993</v>
      </c>
    </row>
    <row r="294" spans="2:34" ht="16.5" outlineLevel="1" x14ac:dyDescent="0.25">
      <c r="B294" s="175" t="s">
        <v>2765</v>
      </c>
      <c r="C294" s="176">
        <v>6.71</v>
      </c>
      <c r="D294" s="176">
        <v>10.5</v>
      </c>
      <c r="E294" s="194">
        <v>3</v>
      </c>
      <c r="F294" s="194">
        <v>0</v>
      </c>
      <c r="G294" s="194">
        <f t="shared" si="218"/>
        <v>3</v>
      </c>
      <c r="H294" s="176"/>
      <c r="I294" s="178" t="str">
        <f t="shared" si="199"/>
        <v>X</v>
      </c>
      <c r="J294" s="176">
        <f t="shared" si="200"/>
        <v>31.5</v>
      </c>
      <c r="K294" s="178" t="str">
        <f t="shared" si="201"/>
        <v xml:space="preserve"> </v>
      </c>
      <c r="L294" s="176">
        <f t="shared" si="202"/>
        <v>0</v>
      </c>
      <c r="M294" s="178" t="str">
        <f t="shared" si="203"/>
        <v>X</v>
      </c>
      <c r="N294" s="177">
        <f t="shared" si="204"/>
        <v>31.5</v>
      </c>
      <c r="O294" s="178" t="str">
        <f t="shared" si="205"/>
        <v xml:space="preserve"> </v>
      </c>
      <c r="P294" s="176">
        <f t="shared" si="206"/>
        <v>0</v>
      </c>
      <c r="Q294" s="178" t="s">
        <v>0</v>
      </c>
      <c r="R294" s="176"/>
      <c r="S294" s="178" t="s">
        <v>2579</v>
      </c>
      <c r="T294" s="178" t="str">
        <f t="shared" si="207"/>
        <v xml:space="preserve"> </v>
      </c>
      <c r="U294" s="176">
        <f t="shared" si="219"/>
        <v>0</v>
      </c>
      <c r="V294" s="178" t="str">
        <f t="shared" si="208"/>
        <v>X</v>
      </c>
      <c r="W294" s="176">
        <f t="shared" si="220"/>
        <v>31.5</v>
      </c>
      <c r="X294" s="178" t="str">
        <f t="shared" si="209"/>
        <v xml:space="preserve"> </v>
      </c>
      <c r="Y294" s="176">
        <f t="shared" si="221"/>
        <v>0</v>
      </c>
      <c r="Z294" s="178" t="s">
        <v>2582</v>
      </c>
      <c r="AA294" s="178" t="str">
        <f t="shared" si="210"/>
        <v xml:space="preserve"> </v>
      </c>
      <c r="AB294" s="176">
        <f t="shared" si="211"/>
        <v>0</v>
      </c>
      <c r="AC294" s="178" t="str">
        <f t="shared" si="212"/>
        <v>X</v>
      </c>
      <c r="AD294" s="176">
        <f t="shared" si="213"/>
        <v>6.71</v>
      </c>
      <c r="AE294" s="178" t="str">
        <f t="shared" si="214"/>
        <v xml:space="preserve"> </v>
      </c>
      <c r="AF294" s="176">
        <f t="shared" si="215"/>
        <v>0</v>
      </c>
      <c r="AG294" s="178" t="str">
        <f t="shared" si="216"/>
        <v>X</v>
      </c>
      <c r="AH294" s="176">
        <f t="shared" si="217"/>
        <v>10.5</v>
      </c>
    </row>
    <row r="295" spans="2:34" ht="16.5" outlineLevel="1" x14ac:dyDescent="0.25">
      <c r="B295" s="175" t="s">
        <v>2611</v>
      </c>
      <c r="C295" s="176">
        <v>3.48</v>
      </c>
      <c r="D295" s="176">
        <v>8.1999999999999993</v>
      </c>
      <c r="E295" s="194">
        <v>3</v>
      </c>
      <c r="F295" s="194">
        <v>0</v>
      </c>
      <c r="G295" s="194">
        <f t="shared" si="218"/>
        <v>3</v>
      </c>
      <c r="H295" s="176"/>
      <c r="I295" s="178" t="str">
        <f t="shared" si="199"/>
        <v>X</v>
      </c>
      <c r="J295" s="176">
        <f t="shared" si="200"/>
        <v>24.599999999999998</v>
      </c>
      <c r="K295" s="178" t="str">
        <f t="shared" si="201"/>
        <v xml:space="preserve"> </v>
      </c>
      <c r="L295" s="176">
        <f t="shared" si="202"/>
        <v>0</v>
      </c>
      <c r="M295" s="178" t="str">
        <f t="shared" si="203"/>
        <v>X</v>
      </c>
      <c r="N295" s="177">
        <f t="shared" si="204"/>
        <v>24.599999999999998</v>
      </c>
      <c r="O295" s="178" t="str">
        <f t="shared" si="205"/>
        <v xml:space="preserve"> </v>
      </c>
      <c r="P295" s="176">
        <f t="shared" si="206"/>
        <v>0</v>
      </c>
      <c r="Q295" s="178" t="s">
        <v>0</v>
      </c>
      <c r="R295" s="176"/>
      <c r="S295" s="178" t="s">
        <v>2579</v>
      </c>
      <c r="T295" s="178" t="str">
        <f t="shared" si="207"/>
        <v xml:space="preserve"> </v>
      </c>
      <c r="U295" s="176">
        <f t="shared" si="219"/>
        <v>0</v>
      </c>
      <c r="V295" s="178" t="str">
        <f t="shared" si="208"/>
        <v>X</v>
      </c>
      <c r="W295" s="176">
        <f t="shared" si="220"/>
        <v>24.599999999999998</v>
      </c>
      <c r="X295" s="178" t="str">
        <f t="shared" si="209"/>
        <v xml:space="preserve"> </v>
      </c>
      <c r="Y295" s="176">
        <f t="shared" si="221"/>
        <v>0</v>
      </c>
      <c r="Z295" s="178" t="s">
        <v>2581</v>
      </c>
      <c r="AA295" s="178" t="str">
        <f t="shared" si="210"/>
        <v>X</v>
      </c>
      <c r="AB295" s="176">
        <f t="shared" si="211"/>
        <v>3.48</v>
      </c>
      <c r="AC295" s="178" t="str">
        <f t="shared" si="212"/>
        <v xml:space="preserve"> </v>
      </c>
      <c r="AD295" s="176">
        <f t="shared" si="213"/>
        <v>0</v>
      </c>
      <c r="AE295" s="178" t="str">
        <f t="shared" si="214"/>
        <v xml:space="preserve"> </v>
      </c>
      <c r="AF295" s="176">
        <f t="shared" si="215"/>
        <v>0</v>
      </c>
      <c r="AG295" s="178" t="str">
        <f t="shared" si="216"/>
        <v>X</v>
      </c>
      <c r="AH295" s="176">
        <f t="shared" si="217"/>
        <v>8.1999999999999993</v>
      </c>
    </row>
    <row r="296" spans="2:34" ht="16.5" outlineLevel="1" x14ac:dyDescent="0.25">
      <c r="B296" s="175" t="s">
        <v>2660</v>
      </c>
      <c r="C296" s="176">
        <v>2.16</v>
      </c>
      <c r="D296" s="176">
        <v>6</v>
      </c>
      <c r="E296" s="194">
        <v>3</v>
      </c>
      <c r="F296" s="194">
        <v>2.1</v>
      </c>
      <c r="G296" s="194">
        <f t="shared" si="218"/>
        <v>0.89999999999999991</v>
      </c>
      <c r="H296" s="176"/>
      <c r="I296" s="178" t="str">
        <f t="shared" si="199"/>
        <v>X</v>
      </c>
      <c r="J296" s="176">
        <f t="shared" si="200"/>
        <v>18</v>
      </c>
      <c r="K296" s="178" t="str">
        <f t="shared" si="201"/>
        <v>X</v>
      </c>
      <c r="L296" s="176">
        <f t="shared" si="202"/>
        <v>12.600000000000001</v>
      </c>
      <c r="M296" s="178" t="str">
        <f t="shared" si="203"/>
        <v>X</v>
      </c>
      <c r="N296" s="177">
        <f t="shared" si="204"/>
        <v>5.3999999999999986</v>
      </c>
      <c r="O296" s="178" t="str">
        <f t="shared" si="205"/>
        <v>X</v>
      </c>
      <c r="P296" s="176">
        <f t="shared" si="206"/>
        <v>12.600000000000001</v>
      </c>
      <c r="Q296" s="178" t="s">
        <v>0</v>
      </c>
      <c r="R296" s="176"/>
      <c r="S296" s="178" t="s">
        <v>2578</v>
      </c>
      <c r="T296" s="178" t="str">
        <f t="shared" si="207"/>
        <v>X</v>
      </c>
      <c r="U296" s="176">
        <f t="shared" si="219"/>
        <v>5.3999999999999986</v>
      </c>
      <c r="V296" s="178" t="str">
        <f t="shared" si="208"/>
        <v xml:space="preserve"> </v>
      </c>
      <c r="W296" s="176">
        <f t="shared" si="220"/>
        <v>0</v>
      </c>
      <c r="X296" s="178" t="str">
        <f t="shared" si="209"/>
        <v xml:space="preserve"> </v>
      </c>
      <c r="Y296" s="176">
        <f t="shared" si="221"/>
        <v>0</v>
      </c>
      <c r="Z296" s="178" t="s">
        <v>2581</v>
      </c>
      <c r="AA296" s="178" t="str">
        <f t="shared" si="210"/>
        <v>X</v>
      </c>
      <c r="AB296" s="176">
        <f t="shared" si="211"/>
        <v>2.16</v>
      </c>
      <c r="AC296" s="178" t="str">
        <f t="shared" si="212"/>
        <v xml:space="preserve"> </v>
      </c>
      <c r="AD296" s="176">
        <f t="shared" si="213"/>
        <v>0</v>
      </c>
      <c r="AE296" s="178" t="str">
        <f t="shared" si="214"/>
        <v xml:space="preserve"> </v>
      </c>
      <c r="AF296" s="176">
        <f t="shared" si="215"/>
        <v>0</v>
      </c>
      <c r="AG296" s="178" t="str">
        <f t="shared" si="216"/>
        <v/>
      </c>
      <c r="AH296" s="176">
        <f t="shared" si="217"/>
        <v>0</v>
      </c>
    </row>
    <row r="297" spans="2:34" ht="16.5" outlineLevel="1" x14ac:dyDescent="0.25">
      <c r="B297" s="175" t="s">
        <v>2661</v>
      </c>
      <c r="C297" s="176">
        <v>2.65</v>
      </c>
      <c r="D297" s="176">
        <v>7.4</v>
      </c>
      <c r="E297" s="194">
        <v>3</v>
      </c>
      <c r="F297" s="194">
        <v>2.1</v>
      </c>
      <c r="G297" s="194">
        <f t="shared" si="218"/>
        <v>0.89999999999999991</v>
      </c>
      <c r="H297" s="176"/>
      <c r="I297" s="178" t="str">
        <f t="shared" si="199"/>
        <v>X</v>
      </c>
      <c r="J297" s="176">
        <f t="shared" si="200"/>
        <v>22.200000000000003</v>
      </c>
      <c r="K297" s="178" t="str">
        <f t="shared" si="201"/>
        <v>X</v>
      </c>
      <c r="L297" s="176">
        <f t="shared" ref="L297:L312" si="222">IF(K297="X",($D297-H297)*F297,0)</f>
        <v>15.540000000000001</v>
      </c>
      <c r="M297" s="178" t="str">
        <f t="shared" si="203"/>
        <v>X</v>
      </c>
      <c r="N297" s="177">
        <f t="shared" si="204"/>
        <v>6.6600000000000019</v>
      </c>
      <c r="O297" s="178" t="str">
        <f t="shared" si="205"/>
        <v>X</v>
      </c>
      <c r="P297" s="176">
        <f t="shared" si="206"/>
        <v>15.540000000000001</v>
      </c>
      <c r="Q297" s="178" t="s">
        <v>0</v>
      </c>
      <c r="R297" s="176"/>
      <c r="S297" s="178" t="s">
        <v>2578</v>
      </c>
      <c r="T297" s="178" t="str">
        <f t="shared" si="207"/>
        <v>X</v>
      </c>
      <c r="U297" s="176">
        <f t="shared" si="219"/>
        <v>6.6600000000000019</v>
      </c>
      <c r="V297" s="178" t="str">
        <f t="shared" si="208"/>
        <v xml:space="preserve"> </v>
      </c>
      <c r="W297" s="176">
        <f t="shared" si="220"/>
        <v>0</v>
      </c>
      <c r="X297" s="178" t="str">
        <f t="shared" si="209"/>
        <v xml:space="preserve"> </v>
      </c>
      <c r="Y297" s="176">
        <f t="shared" si="221"/>
        <v>0</v>
      </c>
      <c r="Z297" s="178" t="s">
        <v>2581</v>
      </c>
      <c r="AA297" s="178" t="str">
        <f t="shared" si="210"/>
        <v>X</v>
      </c>
      <c r="AB297" s="176">
        <f t="shared" si="211"/>
        <v>2.65</v>
      </c>
      <c r="AC297" s="178" t="str">
        <f t="shared" si="212"/>
        <v xml:space="preserve"> </v>
      </c>
      <c r="AD297" s="176">
        <f t="shared" si="213"/>
        <v>0</v>
      </c>
      <c r="AE297" s="178" t="str">
        <f t="shared" si="214"/>
        <v xml:space="preserve"> </v>
      </c>
      <c r="AF297" s="176">
        <f t="shared" si="215"/>
        <v>0</v>
      </c>
      <c r="AG297" s="178" t="str">
        <f t="shared" si="216"/>
        <v/>
      </c>
      <c r="AH297" s="176">
        <f t="shared" si="217"/>
        <v>0</v>
      </c>
    </row>
    <row r="298" spans="2:34" ht="16.5" outlineLevel="1" x14ac:dyDescent="0.25">
      <c r="B298" s="175" t="s">
        <v>2766</v>
      </c>
      <c r="C298" s="176">
        <v>40</v>
      </c>
      <c r="D298" s="176">
        <v>23.9</v>
      </c>
      <c r="E298" s="194">
        <v>3</v>
      </c>
      <c r="F298" s="194">
        <v>0</v>
      </c>
      <c r="G298" s="194">
        <f t="shared" si="218"/>
        <v>3</v>
      </c>
      <c r="H298" s="176"/>
      <c r="I298" s="178" t="str">
        <f t="shared" si="199"/>
        <v>X</v>
      </c>
      <c r="J298" s="176">
        <f t="shared" si="200"/>
        <v>71.699999999999989</v>
      </c>
      <c r="K298" s="178" t="str">
        <f t="shared" si="201"/>
        <v xml:space="preserve"> </v>
      </c>
      <c r="L298" s="176">
        <f t="shared" si="222"/>
        <v>0</v>
      </c>
      <c r="M298" s="178" t="str">
        <f t="shared" si="203"/>
        <v>X</v>
      </c>
      <c r="N298" s="177">
        <f t="shared" si="204"/>
        <v>71.699999999999989</v>
      </c>
      <c r="O298" s="178" t="str">
        <f t="shared" si="205"/>
        <v xml:space="preserve"> </v>
      </c>
      <c r="P298" s="176">
        <f t="shared" si="206"/>
        <v>0</v>
      </c>
      <c r="Q298" s="178" t="s">
        <v>0</v>
      </c>
      <c r="R298" s="176"/>
      <c r="S298" s="178" t="s">
        <v>2579</v>
      </c>
      <c r="T298" s="178" t="str">
        <f t="shared" si="207"/>
        <v xml:space="preserve"> </v>
      </c>
      <c r="U298" s="176">
        <f t="shared" si="219"/>
        <v>0</v>
      </c>
      <c r="V298" s="178" t="str">
        <f t="shared" si="208"/>
        <v>X</v>
      </c>
      <c r="W298" s="176">
        <f t="shared" si="220"/>
        <v>71.699999999999989</v>
      </c>
      <c r="X298" s="178" t="str">
        <f t="shared" si="209"/>
        <v xml:space="preserve"> </v>
      </c>
      <c r="Y298" s="176">
        <f t="shared" si="221"/>
        <v>0</v>
      </c>
      <c r="Z298" s="178" t="s">
        <v>2581</v>
      </c>
      <c r="AA298" s="178" t="str">
        <f t="shared" si="210"/>
        <v>X</v>
      </c>
      <c r="AB298" s="176">
        <f t="shared" si="211"/>
        <v>40</v>
      </c>
      <c r="AC298" s="178" t="str">
        <f t="shared" si="212"/>
        <v xml:space="preserve"> </v>
      </c>
      <c r="AD298" s="176">
        <f t="shared" si="213"/>
        <v>0</v>
      </c>
      <c r="AE298" s="178" t="str">
        <f t="shared" si="214"/>
        <v xml:space="preserve"> </v>
      </c>
      <c r="AF298" s="176">
        <f t="shared" si="215"/>
        <v>0</v>
      </c>
      <c r="AG298" s="178" t="str">
        <f t="shared" si="216"/>
        <v>X</v>
      </c>
      <c r="AH298" s="176">
        <f t="shared" si="217"/>
        <v>23.9</v>
      </c>
    </row>
    <row r="299" spans="2:34" ht="16.5" outlineLevel="1" x14ac:dyDescent="0.25">
      <c r="B299" s="175" t="s">
        <v>2767</v>
      </c>
      <c r="C299" s="176">
        <v>52.78</v>
      </c>
      <c r="D299" s="176">
        <v>28.54</v>
      </c>
      <c r="E299" s="194">
        <v>3</v>
      </c>
      <c r="F299" s="194">
        <v>0</v>
      </c>
      <c r="G299" s="194">
        <f t="shared" si="218"/>
        <v>3</v>
      </c>
      <c r="H299" s="176"/>
      <c r="I299" s="178" t="str">
        <f t="shared" si="199"/>
        <v>X</v>
      </c>
      <c r="J299" s="176">
        <f t="shared" si="200"/>
        <v>85.62</v>
      </c>
      <c r="K299" s="178" t="str">
        <f t="shared" si="201"/>
        <v xml:space="preserve"> </v>
      </c>
      <c r="L299" s="176">
        <f t="shared" si="222"/>
        <v>0</v>
      </c>
      <c r="M299" s="178" t="str">
        <f t="shared" si="203"/>
        <v>X</v>
      </c>
      <c r="N299" s="177">
        <f t="shared" si="204"/>
        <v>85.62</v>
      </c>
      <c r="O299" s="178" t="str">
        <f t="shared" si="205"/>
        <v xml:space="preserve"> </v>
      </c>
      <c r="P299" s="176">
        <f t="shared" si="206"/>
        <v>0</v>
      </c>
      <c r="Q299" s="178" t="s">
        <v>0</v>
      </c>
      <c r="R299" s="176"/>
      <c r="S299" s="178" t="s">
        <v>2579</v>
      </c>
      <c r="T299" s="178" t="str">
        <f t="shared" si="207"/>
        <v xml:space="preserve"> </v>
      </c>
      <c r="U299" s="176">
        <f t="shared" si="219"/>
        <v>0</v>
      </c>
      <c r="V299" s="178" t="str">
        <f t="shared" si="208"/>
        <v>X</v>
      </c>
      <c r="W299" s="176">
        <f t="shared" si="220"/>
        <v>85.62</v>
      </c>
      <c r="X299" s="178" t="str">
        <f t="shared" si="209"/>
        <v xml:space="preserve"> </v>
      </c>
      <c r="Y299" s="176">
        <f t="shared" si="221"/>
        <v>0</v>
      </c>
      <c r="Z299" s="178" t="s">
        <v>2581</v>
      </c>
      <c r="AA299" s="178" t="str">
        <f t="shared" si="210"/>
        <v>X</v>
      </c>
      <c r="AB299" s="176">
        <f t="shared" si="211"/>
        <v>52.78</v>
      </c>
      <c r="AC299" s="178" t="str">
        <f t="shared" si="212"/>
        <v xml:space="preserve"> </v>
      </c>
      <c r="AD299" s="176">
        <f t="shared" si="213"/>
        <v>0</v>
      </c>
      <c r="AE299" s="178" t="str">
        <f t="shared" si="214"/>
        <v xml:space="preserve"> </v>
      </c>
      <c r="AF299" s="176">
        <f t="shared" si="215"/>
        <v>0</v>
      </c>
      <c r="AG299" s="178" t="str">
        <f t="shared" si="216"/>
        <v>X</v>
      </c>
      <c r="AH299" s="176">
        <f t="shared" si="217"/>
        <v>28.54</v>
      </c>
    </row>
    <row r="300" spans="2:34" ht="16.5" outlineLevel="1" x14ac:dyDescent="0.25">
      <c r="B300" s="175" t="s">
        <v>2768</v>
      </c>
      <c r="C300" s="176">
        <v>21.7</v>
      </c>
      <c r="D300" s="176">
        <v>20.399999999999999</v>
      </c>
      <c r="E300" s="194">
        <v>3</v>
      </c>
      <c r="F300" s="194">
        <v>0</v>
      </c>
      <c r="G300" s="194">
        <f t="shared" si="218"/>
        <v>3</v>
      </c>
      <c r="H300" s="176"/>
      <c r="I300" s="178" t="str">
        <f t="shared" si="199"/>
        <v>X</v>
      </c>
      <c r="J300" s="176">
        <f t="shared" si="200"/>
        <v>61.199999999999996</v>
      </c>
      <c r="K300" s="178" t="str">
        <f t="shared" si="201"/>
        <v xml:space="preserve"> </v>
      </c>
      <c r="L300" s="176">
        <f t="shared" si="222"/>
        <v>0</v>
      </c>
      <c r="M300" s="178" t="str">
        <f t="shared" si="203"/>
        <v>X</v>
      </c>
      <c r="N300" s="177">
        <f t="shared" si="204"/>
        <v>61.199999999999996</v>
      </c>
      <c r="O300" s="178" t="str">
        <f t="shared" si="205"/>
        <v xml:space="preserve"> </v>
      </c>
      <c r="P300" s="176">
        <f t="shared" si="206"/>
        <v>0</v>
      </c>
      <c r="Q300" s="178" t="s">
        <v>0</v>
      </c>
      <c r="R300" s="176"/>
      <c r="S300" s="178" t="s">
        <v>2579</v>
      </c>
      <c r="T300" s="178" t="str">
        <f t="shared" si="207"/>
        <v xml:space="preserve"> </v>
      </c>
      <c r="U300" s="176">
        <f t="shared" si="219"/>
        <v>0</v>
      </c>
      <c r="V300" s="178" t="str">
        <f t="shared" si="208"/>
        <v>X</v>
      </c>
      <c r="W300" s="176">
        <f t="shared" si="220"/>
        <v>61.199999999999996</v>
      </c>
      <c r="X300" s="178" t="str">
        <f t="shared" si="209"/>
        <v xml:space="preserve"> </v>
      </c>
      <c r="Y300" s="176">
        <f t="shared" si="221"/>
        <v>0</v>
      </c>
      <c r="Z300" s="178" t="s">
        <v>2581</v>
      </c>
      <c r="AA300" s="178" t="str">
        <f t="shared" si="210"/>
        <v>X</v>
      </c>
      <c r="AB300" s="176">
        <f t="shared" si="211"/>
        <v>21.7</v>
      </c>
      <c r="AC300" s="178" t="str">
        <f t="shared" si="212"/>
        <v xml:space="preserve"> </v>
      </c>
      <c r="AD300" s="176">
        <f t="shared" si="213"/>
        <v>0</v>
      </c>
      <c r="AE300" s="178" t="str">
        <f t="shared" si="214"/>
        <v xml:space="preserve"> </v>
      </c>
      <c r="AF300" s="176">
        <f t="shared" si="215"/>
        <v>0</v>
      </c>
      <c r="AG300" s="178" t="str">
        <f t="shared" si="216"/>
        <v>X</v>
      </c>
      <c r="AH300" s="176">
        <f t="shared" si="217"/>
        <v>20.399999999999999</v>
      </c>
    </row>
    <row r="301" spans="2:34" ht="16.5" outlineLevel="1" x14ac:dyDescent="0.25">
      <c r="B301" s="175" t="s">
        <v>2769</v>
      </c>
      <c r="C301" s="176">
        <v>32.51</v>
      </c>
      <c r="D301" s="176">
        <v>21.6</v>
      </c>
      <c r="E301" s="194">
        <v>3</v>
      </c>
      <c r="F301" s="194">
        <v>0</v>
      </c>
      <c r="G301" s="194">
        <f t="shared" si="218"/>
        <v>3</v>
      </c>
      <c r="H301" s="176"/>
      <c r="I301" s="178" t="str">
        <f t="shared" si="199"/>
        <v>X</v>
      </c>
      <c r="J301" s="176">
        <f t="shared" si="200"/>
        <v>64.800000000000011</v>
      </c>
      <c r="K301" s="178" t="str">
        <f t="shared" si="201"/>
        <v xml:space="preserve"> </v>
      </c>
      <c r="L301" s="176">
        <f t="shared" si="222"/>
        <v>0</v>
      </c>
      <c r="M301" s="178" t="str">
        <f t="shared" si="203"/>
        <v>X</v>
      </c>
      <c r="N301" s="177">
        <f t="shared" si="204"/>
        <v>64.800000000000011</v>
      </c>
      <c r="O301" s="178" t="str">
        <f t="shared" si="205"/>
        <v xml:space="preserve"> </v>
      </c>
      <c r="P301" s="176">
        <f t="shared" si="206"/>
        <v>0</v>
      </c>
      <c r="Q301" s="178" t="s">
        <v>0</v>
      </c>
      <c r="R301" s="176"/>
      <c r="S301" s="178" t="s">
        <v>2579</v>
      </c>
      <c r="T301" s="178" t="str">
        <f t="shared" si="207"/>
        <v xml:space="preserve"> </v>
      </c>
      <c r="U301" s="176">
        <f t="shared" si="219"/>
        <v>0</v>
      </c>
      <c r="V301" s="178" t="str">
        <f t="shared" si="208"/>
        <v>X</v>
      </c>
      <c r="W301" s="176">
        <f t="shared" si="220"/>
        <v>64.800000000000011</v>
      </c>
      <c r="X301" s="178" t="str">
        <f t="shared" si="209"/>
        <v xml:space="preserve"> </v>
      </c>
      <c r="Y301" s="176">
        <f t="shared" si="221"/>
        <v>0</v>
      </c>
      <c r="Z301" s="178" t="s">
        <v>2581</v>
      </c>
      <c r="AA301" s="178" t="str">
        <f t="shared" si="210"/>
        <v>X</v>
      </c>
      <c r="AB301" s="176">
        <f t="shared" si="211"/>
        <v>32.51</v>
      </c>
      <c r="AC301" s="178" t="str">
        <f t="shared" si="212"/>
        <v xml:space="preserve"> </v>
      </c>
      <c r="AD301" s="176">
        <f t="shared" si="213"/>
        <v>0</v>
      </c>
      <c r="AE301" s="178" t="str">
        <f t="shared" si="214"/>
        <v xml:space="preserve"> </v>
      </c>
      <c r="AF301" s="176">
        <f t="shared" si="215"/>
        <v>0</v>
      </c>
      <c r="AG301" s="178" t="str">
        <f t="shared" si="216"/>
        <v>X</v>
      </c>
      <c r="AH301" s="176">
        <f t="shared" si="217"/>
        <v>21.6</v>
      </c>
    </row>
    <row r="302" spans="2:34" ht="16.5" outlineLevel="1" x14ac:dyDescent="0.25">
      <c r="B302" s="175" t="s">
        <v>2770</v>
      </c>
      <c r="C302" s="176">
        <v>32.299999999999997</v>
      </c>
      <c r="D302" s="176">
        <v>21.45</v>
      </c>
      <c r="E302" s="194">
        <v>3</v>
      </c>
      <c r="F302" s="194">
        <v>0</v>
      </c>
      <c r="G302" s="194">
        <f t="shared" si="218"/>
        <v>3</v>
      </c>
      <c r="H302" s="176"/>
      <c r="I302" s="178" t="str">
        <f t="shared" si="199"/>
        <v>X</v>
      </c>
      <c r="J302" s="176">
        <f t="shared" si="200"/>
        <v>64.349999999999994</v>
      </c>
      <c r="K302" s="178" t="str">
        <f t="shared" si="201"/>
        <v xml:space="preserve"> </v>
      </c>
      <c r="L302" s="176">
        <f t="shared" si="222"/>
        <v>0</v>
      </c>
      <c r="M302" s="178" t="str">
        <f t="shared" si="203"/>
        <v>X</v>
      </c>
      <c r="N302" s="177">
        <f t="shared" si="204"/>
        <v>64.349999999999994</v>
      </c>
      <c r="O302" s="178" t="str">
        <f t="shared" si="205"/>
        <v xml:space="preserve"> </v>
      </c>
      <c r="P302" s="176">
        <f t="shared" si="206"/>
        <v>0</v>
      </c>
      <c r="Q302" s="178" t="s">
        <v>0</v>
      </c>
      <c r="R302" s="176"/>
      <c r="S302" s="178" t="s">
        <v>2579</v>
      </c>
      <c r="T302" s="178" t="str">
        <f t="shared" si="207"/>
        <v xml:space="preserve"> </v>
      </c>
      <c r="U302" s="176">
        <f t="shared" si="219"/>
        <v>0</v>
      </c>
      <c r="V302" s="178" t="str">
        <f t="shared" si="208"/>
        <v>X</v>
      </c>
      <c r="W302" s="176">
        <f t="shared" si="220"/>
        <v>64.349999999999994</v>
      </c>
      <c r="X302" s="178" t="str">
        <f t="shared" si="209"/>
        <v xml:space="preserve"> </v>
      </c>
      <c r="Y302" s="176">
        <f t="shared" si="221"/>
        <v>0</v>
      </c>
      <c r="Z302" s="178" t="s">
        <v>2581</v>
      </c>
      <c r="AA302" s="178" t="str">
        <f t="shared" si="210"/>
        <v>X</v>
      </c>
      <c r="AB302" s="176">
        <f t="shared" si="211"/>
        <v>32.299999999999997</v>
      </c>
      <c r="AC302" s="178" t="str">
        <f t="shared" si="212"/>
        <v xml:space="preserve"> </v>
      </c>
      <c r="AD302" s="176">
        <f t="shared" si="213"/>
        <v>0</v>
      </c>
      <c r="AE302" s="178" t="str">
        <f t="shared" si="214"/>
        <v xml:space="preserve"> </v>
      </c>
      <c r="AF302" s="176">
        <f t="shared" si="215"/>
        <v>0</v>
      </c>
      <c r="AG302" s="178" t="str">
        <f t="shared" si="216"/>
        <v>X</v>
      </c>
      <c r="AH302" s="176">
        <f t="shared" si="217"/>
        <v>21.45</v>
      </c>
    </row>
    <row r="303" spans="2:34" ht="16.5" outlineLevel="1" x14ac:dyDescent="0.25">
      <c r="B303" s="175" t="s">
        <v>2771</v>
      </c>
      <c r="C303" s="176">
        <v>17.71</v>
      </c>
      <c r="D303" s="176">
        <v>20.8</v>
      </c>
      <c r="E303" s="194">
        <v>3</v>
      </c>
      <c r="F303" s="194">
        <v>0</v>
      </c>
      <c r="G303" s="194">
        <f t="shared" si="218"/>
        <v>3</v>
      </c>
      <c r="H303" s="176"/>
      <c r="I303" s="178" t="str">
        <f t="shared" si="199"/>
        <v>X</v>
      </c>
      <c r="J303" s="176">
        <f t="shared" si="200"/>
        <v>62.400000000000006</v>
      </c>
      <c r="K303" s="178" t="str">
        <f t="shared" si="201"/>
        <v xml:space="preserve"> </v>
      </c>
      <c r="L303" s="176">
        <f t="shared" si="222"/>
        <v>0</v>
      </c>
      <c r="M303" s="178" t="str">
        <f t="shared" si="203"/>
        <v>X</v>
      </c>
      <c r="N303" s="177">
        <f t="shared" si="204"/>
        <v>62.400000000000006</v>
      </c>
      <c r="O303" s="178" t="str">
        <f t="shared" si="205"/>
        <v xml:space="preserve"> </v>
      </c>
      <c r="P303" s="176">
        <f t="shared" si="206"/>
        <v>0</v>
      </c>
      <c r="Q303" s="178" t="s">
        <v>0</v>
      </c>
      <c r="R303" s="176"/>
      <c r="S303" s="178" t="s">
        <v>2579</v>
      </c>
      <c r="T303" s="178" t="str">
        <f t="shared" si="207"/>
        <v xml:space="preserve"> </v>
      </c>
      <c r="U303" s="176">
        <f t="shared" si="219"/>
        <v>0</v>
      </c>
      <c r="V303" s="178" t="str">
        <f t="shared" si="208"/>
        <v>X</v>
      </c>
      <c r="W303" s="176">
        <f t="shared" si="220"/>
        <v>62.400000000000006</v>
      </c>
      <c r="X303" s="178" t="str">
        <f t="shared" si="209"/>
        <v xml:space="preserve"> </v>
      </c>
      <c r="Y303" s="176">
        <f t="shared" si="221"/>
        <v>0</v>
      </c>
      <c r="Z303" s="178" t="s">
        <v>2581</v>
      </c>
      <c r="AA303" s="178" t="str">
        <f t="shared" si="210"/>
        <v>X</v>
      </c>
      <c r="AB303" s="176">
        <f t="shared" si="211"/>
        <v>17.71</v>
      </c>
      <c r="AC303" s="178" t="str">
        <f t="shared" si="212"/>
        <v xml:space="preserve"> </v>
      </c>
      <c r="AD303" s="176">
        <f t="shared" si="213"/>
        <v>0</v>
      </c>
      <c r="AE303" s="178" t="str">
        <f t="shared" si="214"/>
        <v xml:space="preserve"> </v>
      </c>
      <c r="AF303" s="176">
        <f t="shared" si="215"/>
        <v>0</v>
      </c>
      <c r="AG303" s="178" t="str">
        <f t="shared" si="216"/>
        <v>X</v>
      </c>
      <c r="AH303" s="176">
        <f t="shared" si="217"/>
        <v>20.8</v>
      </c>
    </row>
    <row r="304" spans="2:34" ht="16.5" outlineLevel="1" x14ac:dyDescent="0.25">
      <c r="B304" s="175" t="s">
        <v>2772</v>
      </c>
      <c r="C304" s="176">
        <v>37.450000000000003</v>
      </c>
      <c r="D304" s="176">
        <v>23.98</v>
      </c>
      <c r="E304" s="194">
        <v>3</v>
      </c>
      <c r="F304" s="194">
        <v>0</v>
      </c>
      <c r="G304" s="194">
        <f t="shared" si="218"/>
        <v>3</v>
      </c>
      <c r="H304" s="176"/>
      <c r="I304" s="178" t="str">
        <f t="shared" si="199"/>
        <v>X</v>
      </c>
      <c r="J304" s="176">
        <f t="shared" si="200"/>
        <v>71.94</v>
      </c>
      <c r="K304" s="178" t="str">
        <f t="shared" si="201"/>
        <v xml:space="preserve"> </v>
      </c>
      <c r="L304" s="176">
        <f t="shared" si="222"/>
        <v>0</v>
      </c>
      <c r="M304" s="178" t="str">
        <f t="shared" si="203"/>
        <v>X</v>
      </c>
      <c r="N304" s="177">
        <f t="shared" si="204"/>
        <v>71.94</v>
      </c>
      <c r="O304" s="178" t="str">
        <f t="shared" si="205"/>
        <v xml:space="preserve"> </v>
      </c>
      <c r="P304" s="176">
        <f t="shared" si="206"/>
        <v>0</v>
      </c>
      <c r="Q304" s="178" t="s">
        <v>0</v>
      </c>
      <c r="R304" s="176"/>
      <c r="S304" s="178" t="s">
        <v>2579</v>
      </c>
      <c r="T304" s="178" t="str">
        <f t="shared" si="207"/>
        <v xml:space="preserve"> </v>
      </c>
      <c r="U304" s="176">
        <f t="shared" si="219"/>
        <v>0</v>
      </c>
      <c r="V304" s="178" t="str">
        <f t="shared" si="208"/>
        <v>X</v>
      </c>
      <c r="W304" s="176">
        <f t="shared" si="220"/>
        <v>71.94</v>
      </c>
      <c r="X304" s="178" t="str">
        <f t="shared" si="209"/>
        <v xml:space="preserve"> </v>
      </c>
      <c r="Y304" s="176">
        <f t="shared" si="221"/>
        <v>0</v>
      </c>
      <c r="Z304" s="178" t="s">
        <v>2581</v>
      </c>
      <c r="AA304" s="178" t="str">
        <f t="shared" si="210"/>
        <v>X</v>
      </c>
      <c r="AB304" s="176">
        <f t="shared" si="211"/>
        <v>37.450000000000003</v>
      </c>
      <c r="AC304" s="178" t="str">
        <f t="shared" si="212"/>
        <v xml:space="preserve"> </v>
      </c>
      <c r="AD304" s="176">
        <f t="shared" si="213"/>
        <v>0</v>
      </c>
      <c r="AE304" s="178" t="str">
        <f t="shared" si="214"/>
        <v xml:space="preserve"> </v>
      </c>
      <c r="AF304" s="176">
        <f t="shared" si="215"/>
        <v>0</v>
      </c>
      <c r="AG304" s="178" t="str">
        <f t="shared" si="216"/>
        <v>X</v>
      </c>
      <c r="AH304" s="176">
        <f t="shared" si="217"/>
        <v>23.98</v>
      </c>
    </row>
    <row r="305" spans="2:34" ht="16.5" outlineLevel="1" x14ac:dyDescent="0.25">
      <c r="B305" s="175" t="s">
        <v>2773</v>
      </c>
      <c r="C305" s="176">
        <v>17</v>
      </c>
      <c r="D305" s="176">
        <v>19.07</v>
      </c>
      <c r="E305" s="194">
        <v>3</v>
      </c>
      <c r="F305" s="194">
        <v>0</v>
      </c>
      <c r="G305" s="194">
        <f t="shared" si="218"/>
        <v>3</v>
      </c>
      <c r="H305" s="176">
        <f>1.76+1.17</f>
        <v>2.9299999999999997</v>
      </c>
      <c r="I305" s="178" t="str">
        <f t="shared" si="199"/>
        <v>X</v>
      </c>
      <c r="J305" s="176">
        <f t="shared" si="200"/>
        <v>48.42</v>
      </c>
      <c r="K305" s="178" t="str">
        <f t="shared" si="201"/>
        <v xml:space="preserve"> </v>
      </c>
      <c r="L305" s="176">
        <f t="shared" si="222"/>
        <v>0</v>
      </c>
      <c r="M305" s="178" t="str">
        <f t="shared" si="203"/>
        <v>X</v>
      </c>
      <c r="N305" s="177">
        <f t="shared" si="204"/>
        <v>48.42</v>
      </c>
      <c r="O305" s="178" t="str">
        <f t="shared" si="205"/>
        <v xml:space="preserve"> </v>
      </c>
      <c r="P305" s="176">
        <f t="shared" si="206"/>
        <v>0</v>
      </c>
      <c r="Q305" s="178" t="s">
        <v>0</v>
      </c>
      <c r="R305" s="176"/>
      <c r="S305" s="178" t="s">
        <v>2579</v>
      </c>
      <c r="T305" s="178" t="str">
        <f t="shared" si="207"/>
        <v xml:space="preserve"> </v>
      </c>
      <c r="U305" s="176">
        <f t="shared" si="219"/>
        <v>0</v>
      </c>
      <c r="V305" s="178" t="str">
        <f t="shared" si="208"/>
        <v>X</v>
      </c>
      <c r="W305" s="176">
        <f t="shared" si="220"/>
        <v>48.42</v>
      </c>
      <c r="X305" s="178" t="str">
        <f t="shared" si="209"/>
        <v xml:space="preserve"> </v>
      </c>
      <c r="Y305" s="176">
        <f t="shared" si="221"/>
        <v>0</v>
      </c>
      <c r="Z305" s="178" t="s">
        <v>2581</v>
      </c>
      <c r="AA305" s="178" t="str">
        <f t="shared" si="210"/>
        <v>X</v>
      </c>
      <c r="AB305" s="176">
        <f t="shared" si="211"/>
        <v>17</v>
      </c>
      <c r="AC305" s="178" t="str">
        <f t="shared" si="212"/>
        <v xml:space="preserve"> </v>
      </c>
      <c r="AD305" s="176">
        <f t="shared" si="213"/>
        <v>0</v>
      </c>
      <c r="AE305" s="178" t="str">
        <f t="shared" si="214"/>
        <v xml:space="preserve"> </v>
      </c>
      <c r="AF305" s="176">
        <f t="shared" si="215"/>
        <v>0</v>
      </c>
      <c r="AG305" s="178" t="str">
        <f t="shared" si="216"/>
        <v>X</v>
      </c>
      <c r="AH305" s="176">
        <f t="shared" si="217"/>
        <v>16.14</v>
      </c>
    </row>
    <row r="306" spans="2:34" ht="16.5" outlineLevel="1" x14ac:dyDescent="0.25">
      <c r="B306" s="175" t="s">
        <v>2774</v>
      </c>
      <c r="C306" s="176">
        <v>11.49</v>
      </c>
      <c r="D306" s="176">
        <v>14.31</v>
      </c>
      <c r="E306" s="194">
        <v>3</v>
      </c>
      <c r="F306" s="194">
        <v>0</v>
      </c>
      <c r="G306" s="194">
        <f t="shared" si="218"/>
        <v>3</v>
      </c>
      <c r="H306" s="176"/>
      <c r="I306" s="178" t="str">
        <f t="shared" si="199"/>
        <v>X</v>
      </c>
      <c r="J306" s="176">
        <f t="shared" si="200"/>
        <v>42.93</v>
      </c>
      <c r="K306" s="178" t="str">
        <f t="shared" si="201"/>
        <v xml:space="preserve"> </v>
      </c>
      <c r="L306" s="176">
        <f t="shared" si="222"/>
        <v>0</v>
      </c>
      <c r="M306" s="178" t="str">
        <f t="shared" si="203"/>
        <v>X</v>
      </c>
      <c r="N306" s="177">
        <f t="shared" si="204"/>
        <v>42.93</v>
      </c>
      <c r="O306" s="178" t="str">
        <f t="shared" si="205"/>
        <v xml:space="preserve"> </v>
      </c>
      <c r="P306" s="176">
        <f t="shared" si="206"/>
        <v>0</v>
      </c>
      <c r="Q306" s="178" t="s">
        <v>0</v>
      </c>
      <c r="R306" s="176"/>
      <c r="S306" s="178" t="s">
        <v>2579</v>
      </c>
      <c r="T306" s="178" t="str">
        <f t="shared" si="207"/>
        <v xml:space="preserve"> </v>
      </c>
      <c r="U306" s="176">
        <f t="shared" si="219"/>
        <v>0</v>
      </c>
      <c r="V306" s="178" t="str">
        <f t="shared" si="208"/>
        <v>X</v>
      </c>
      <c r="W306" s="176">
        <f t="shared" si="220"/>
        <v>42.93</v>
      </c>
      <c r="X306" s="178" t="str">
        <f t="shared" si="209"/>
        <v xml:space="preserve"> </v>
      </c>
      <c r="Y306" s="176">
        <f t="shared" si="221"/>
        <v>0</v>
      </c>
      <c r="Z306" s="178" t="s">
        <v>2581</v>
      </c>
      <c r="AA306" s="178" t="str">
        <f t="shared" si="210"/>
        <v>X</v>
      </c>
      <c r="AB306" s="176">
        <f t="shared" si="211"/>
        <v>11.49</v>
      </c>
      <c r="AC306" s="178" t="str">
        <f t="shared" si="212"/>
        <v xml:space="preserve"> </v>
      </c>
      <c r="AD306" s="176">
        <f t="shared" si="213"/>
        <v>0</v>
      </c>
      <c r="AE306" s="178" t="str">
        <f t="shared" si="214"/>
        <v xml:space="preserve"> </v>
      </c>
      <c r="AF306" s="176">
        <f t="shared" si="215"/>
        <v>0</v>
      </c>
      <c r="AG306" s="178" t="str">
        <f t="shared" si="216"/>
        <v>X</v>
      </c>
      <c r="AH306" s="176">
        <f t="shared" si="217"/>
        <v>14.31</v>
      </c>
    </row>
    <row r="307" spans="2:34" ht="16.5" outlineLevel="1" x14ac:dyDescent="0.25">
      <c r="B307" s="175" t="s">
        <v>2775</v>
      </c>
      <c r="C307" s="176">
        <v>6.17</v>
      </c>
      <c r="D307" s="176">
        <v>10.06</v>
      </c>
      <c r="E307" s="194">
        <v>3</v>
      </c>
      <c r="F307" s="194">
        <v>0</v>
      </c>
      <c r="G307" s="194">
        <f t="shared" si="218"/>
        <v>3</v>
      </c>
      <c r="H307" s="176">
        <v>2.9</v>
      </c>
      <c r="I307" s="178" t="str">
        <f t="shared" si="199"/>
        <v>X</v>
      </c>
      <c r="J307" s="176">
        <f t="shared" si="200"/>
        <v>21.48</v>
      </c>
      <c r="K307" s="178" t="str">
        <f t="shared" si="201"/>
        <v xml:space="preserve"> </v>
      </c>
      <c r="L307" s="176">
        <f t="shared" si="222"/>
        <v>0</v>
      </c>
      <c r="M307" s="178" t="str">
        <f t="shared" si="203"/>
        <v>X</v>
      </c>
      <c r="N307" s="177">
        <f t="shared" si="204"/>
        <v>21.48</v>
      </c>
      <c r="O307" s="178" t="str">
        <f t="shared" si="205"/>
        <v xml:space="preserve"> </v>
      </c>
      <c r="P307" s="176">
        <f t="shared" si="206"/>
        <v>0</v>
      </c>
      <c r="Q307" s="178" t="s">
        <v>0</v>
      </c>
      <c r="R307" s="176"/>
      <c r="S307" s="178" t="s">
        <v>2579</v>
      </c>
      <c r="T307" s="178" t="str">
        <f t="shared" si="207"/>
        <v xml:space="preserve"> </v>
      </c>
      <c r="U307" s="176">
        <f t="shared" si="219"/>
        <v>0</v>
      </c>
      <c r="V307" s="178" t="str">
        <f t="shared" si="208"/>
        <v>X</v>
      </c>
      <c r="W307" s="176">
        <f t="shared" si="220"/>
        <v>21.48</v>
      </c>
      <c r="X307" s="178" t="str">
        <f t="shared" si="209"/>
        <v xml:space="preserve"> </v>
      </c>
      <c r="Y307" s="176">
        <f t="shared" si="221"/>
        <v>0</v>
      </c>
      <c r="Z307" s="178" t="s">
        <v>2582</v>
      </c>
      <c r="AA307" s="178" t="str">
        <f t="shared" si="210"/>
        <v xml:space="preserve"> </v>
      </c>
      <c r="AB307" s="176">
        <f t="shared" si="211"/>
        <v>0</v>
      </c>
      <c r="AC307" s="178" t="str">
        <f t="shared" si="212"/>
        <v>X</v>
      </c>
      <c r="AD307" s="176">
        <f t="shared" si="213"/>
        <v>6.17</v>
      </c>
      <c r="AE307" s="178" t="str">
        <f t="shared" si="214"/>
        <v xml:space="preserve"> </v>
      </c>
      <c r="AF307" s="176">
        <f t="shared" si="215"/>
        <v>0</v>
      </c>
      <c r="AG307" s="178" t="str">
        <f t="shared" si="216"/>
        <v>X</v>
      </c>
      <c r="AH307" s="176">
        <f t="shared" si="217"/>
        <v>7.16</v>
      </c>
    </row>
    <row r="308" spans="2:34" ht="16.5" outlineLevel="1" x14ac:dyDescent="0.25">
      <c r="B308" s="175" t="s">
        <v>2776</v>
      </c>
      <c r="C308" s="176">
        <v>9.36</v>
      </c>
      <c r="D308" s="176">
        <v>12.6</v>
      </c>
      <c r="E308" s="194">
        <v>3</v>
      </c>
      <c r="F308" s="194">
        <v>0</v>
      </c>
      <c r="G308" s="194">
        <f t="shared" si="218"/>
        <v>3</v>
      </c>
      <c r="H308" s="176">
        <v>2.4</v>
      </c>
      <c r="I308" s="178" t="str">
        <f t="shared" si="199"/>
        <v>X</v>
      </c>
      <c r="J308" s="176">
        <f t="shared" si="200"/>
        <v>30.599999999999998</v>
      </c>
      <c r="K308" s="178" t="str">
        <f t="shared" si="201"/>
        <v xml:space="preserve"> </v>
      </c>
      <c r="L308" s="176">
        <f t="shared" si="222"/>
        <v>0</v>
      </c>
      <c r="M308" s="178" t="str">
        <f t="shared" si="203"/>
        <v>X</v>
      </c>
      <c r="N308" s="177">
        <f t="shared" si="204"/>
        <v>30.599999999999998</v>
      </c>
      <c r="O308" s="178" t="str">
        <f t="shared" si="205"/>
        <v xml:space="preserve"> </v>
      </c>
      <c r="P308" s="176">
        <f t="shared" si="206"/>
        <v>0</v>
      </c>
      <c r="Q308" s="178" t="s">
        <v>0</v>
      </c>
      <c r="R308" s="176"/>
      <c r="S308" s="178" t="s">
        <v>2579</v>
      </c>
      <c r="T308" s="178" t="str">
        <f t="shared" si="207"/>
        <v xml:space="preserve"> </v>
      </c>
      <c r="U308" s="176">
        <f t="shared" si="219"/>
        <v>0</v>
      </c>
      <c r="V308" s="178" t="str">
        <f t="shared" si="208"/>
        <v>X</v>
      </c>
      <c r="W308" s="176">
        <f t="shared" si="220"/>
        <v>30.599999999999998</v>
      </c>
      <c r="X308" s="178" t="str">
        <f t="shared" si="209"/>
        <v xml:space="preserve"> </v>
      </c>
      <c r="Y308" s="176">
        <f t="shared" si="221"/>
        <v>0</v>
      </c>
      <c r="Z308" s="178" t="s">
        <v>2581</v>
      </c>
      <c r="AA308" s="178" t="str">
        <f t="shared" si="210"/>
        <v>X</v>
      </c>
      <c r="AB308" s="176">
        <f t="shared" si="211"/>
        <v>9.36</v>
      </c>
      <c r="AC308" s="178" t="str">
        <f t="shared" si="212"/>
        <v xml:space="preserve"> </v>
      </c>
      <c r="AD308" s="176">
        <f t="shared" si="213"/>
        <v>0</v>
      </c>
      <c r="AE308" s="178" t="str">
        <f t="shared" si="214"/>
        <v xml:space="preserve"> </v>
      </c>
      <c r="AF308" s="176">
        <f t="shared" si="215"/>
        <v>0</v>
      </c>
      <c r="AG308" s="178" t="str">
        <f t="shared" si="216"/>
        <v>X</v>
      </c>
      <c r="AH308" s="176">
        <f t="shared" si="217"/>
        <v>10.199999999999999</v>
      </c>
    </row>
    <row r="309" spans="2:34" ht="16.5" outlineLevel="1" x14ac:dyDescent="0.25">
      <c r="B309" s="175" t="s">
        <v>2594</v>
      </c>
      <c r="C309" s="176">
        <v>62.96</v>
      </c>
      <c r="D309" s="176">
        <v>50.57</v>
      </c>
      <c r="E309" s="194">
        <v>3</v>
      </c>
      <c r="F309" s="194">
        <v>0</v>
      </c>
      <c r="G309" s="194">
        <f t="shared" si="218"/>
        <v>3</v>
      </c>
      <c r="H309" s="176">
        <f>2.9+2.4+2.93</f>
        <v>8.23</v>
      </c>
      <c r="I309" s="178" t="str">
        <f t="shared" si="199"/>
        <v>X</v>
      </c>
      <c r="J309" s="176">
        <f t="shared" si="200"/>
        <v>127.02000000000001</v>
      </c>
      <c r="K309" s="178" t="str">
        <f t="shared" si="201"/>
        <v xml:space="preserve"> </v>
      </c>
      <c r="L309" s="176">
        <f t="shared" si="222"/>
        <v>0</v>
      </c>
      <c r="M309" s="178" t="str">
        <f t="shared" si="203"/>
        <v>X</v>
      </c>
      <c r="N309" s="177">
        <f t="shared" si="204"/>
        <v>127.02000000000001</v>
      </c>
      <c r="O309" s="178" t="str">
        <f t="shared" si="205"/>
        <v xml:space="preserve"> </v>
      </c>
      <c r="P309" s="176">
        <f t="shared" si="206"/>
        <v>0</v>
      </c>
      <c r="Q309" s="178" t="s">
        <v>0</v>
      </c>
      <c r="R309" s="176"/>
      <c r="S309" s="178" t="s">
        <v>2579</v>
      </c>
      <c r="T309" s="178" t="str">
        <f t="shared" si="207"/>
        <v xml:space="preserve"> </v>
      </c>
      <c r="U309" s="176">
        <f t="shared" si="219"/>
        <v>0</v>
      </c>
      <c r="V309" s="178" t="str">
        <f t="shared" si="208"/>
        <v>X</v>
      </c>
      <c r="W309" s="176">
        <f t="shared" si="220"/>
        <v>127.02000000000001</v>
      </c>
      <c r="X309" s="178" t="str">
        <f t="shared" si="209"/>
        <v xml:space="preserve"> </v>
      </c>
      <c r="Y309" s="176">
        <f t="shared" si="221"/>
        <v>0</v>
      </c>
      <c r="Z309" s="178" t="s">
        <v>2582</v>
      </c>
      <c r="AA309" s="178" t="str">
        <f t="shared" si="210"/>
        <v xml:space="preserve"> </v>
      </c>
      <c r="AB309" s="176">
        <f t="shared" si="211"/>
        <v>0</v>
      </c>
      <c r="AC309" s="178" t="str">
        <f t="shared" si="212"/>
        <v>X</v>
      </c>
      <c r="AD309" s="176">
        <f t="shared" si="213"/>
        <v>62.96</v>
      </c>
      <c r="AE309" s="178" t="str">
        <f t="shared" si="214"/>
        <v xml:space="preserve"> </v>
      </c>
      <c r="AF309" s="176">
        <f t="shared" si="215"/>
        <v>0</v>
      </c>
      <c r="AG309" s="178" t="str">
        <f t="shared" si="216"/>
        <v>X</v>
      </c>
      <c r="AH309" s="176">
        <f t="shared" si="217"/>
        <v>42.34</v>
      </c>
    </row>
    <row r="310" spans="2:34" ht="16.5" outlineLevel="1" x14ac:dyDescent="0.25">
      <c r="B310" s="175" t="s">
        <v>2594</v>
      </c>
      <c r="C310" s="176">
        <v>53.13</v>
      </c>
      <c r="D310" s="176">
        <v>43.89</v>
      </c>
      <c r="E310" s="194">
        <v>3</v>
      </c>
      <c r="F310" s="194">
        <v>0</v>
      </c>
      <c r="G310" s="194">
        <f t="shared" si="218"/>
        <v>3</v>
      </c>
      <c r="H310" s="176"/>
      <c r="I310" s="178" t="str">
        <f t="shared" si="199"/>
        <v>X</v>
      </c>
      <c r="J310" s="176">
        <f t="shared" si="200"/>
        <v>131.67000000000002</v>
      </c>
      <c r="K310" s="178" t="str">
        <f t="shared" si="201"/>
        <v xml:space="preserve"> </v>
      </c>
      <c r="L310" s="176">
        <f t="shared" si="222"/>
        <v>0</v>
      </c>
      <c r="M310" s="178" t="str">
        <f t="shared" si="203"/>
        <v>X</v>
      </c>
      <c r="N310" s="177">
        <f t="shared" si="204"/>
        <v>131.67000000000002</v>
      </c>
      <c r="O310" s="178" t="str">
        <f t="shared" si="205"/>
        <v xml:space="preserve"> </v>
      </c>
      <c r="P310" s="176">
        <f t="shared" si="206"/>
        <v>0</v>
      </c>
      <c r="Q310" s="178" t="s">
        <v>0</v>
      </c>
      <c r="R310" s="176"/>
      <c r="S310" s="178" t="s">
        <v>2579</v>
      </c>
      <c r="T310" s="178" t="str">
        <f t="shared" si="207"/>
        <v xml:space="preserve"> </v>
      </c>
      <c r="U310" s="176">
        <f t="shared" si="219"/>
        <v>0</v>
      </c>
      <c r="V310" s="178" t="str">
        <f t="shared" si="208"/>
        <v>X</v>
      </c>
      <c r="W310" s="176">
        <f t="shared" si="220"/>
        <v>131.67000000000002</v>
      </c>
      <c r="X310" s="178" t="str">
        <f t="shared" si="209"/>
        <v xml:space="preserve"> </v>
      </c>
      <c r="Y310" s="176">
        <f t="shared" si="221"/>
        <v>0</v>
      </c>
      <c r="Z310" s="178" t="s">
        <v>2582</v>
      </c>
      <c r="AA310" s="178" t="str">
        <f t="shared" si="210"/>
        <v xml:space="preserve"> </v>
      </c>
      <c r="AB310" s="176">
        <f t="shared" si="211"/>
        <v>0</v>
      </c>
      <c r="AC310" s="178" t="str">
        <f t="shared" si="212"/>
        <v>X</v>
      </c>
      <c r="AD310" s="176">
        <f t="shared" si="213"/>
        <v>53.13</v>
      </c>
      <c r="AE310" s="178" t="str">
        <f t="shared" si="214"/>
        <v xml:space="preserve"> </v>
      </c>
      <c r="AF310" s="176">
        <f t="shared" si="215"/>
        <v>0</v>
      </c>
      <c r="AG310" s="178" t="str">
        <f t="shared" si="216"/>
        <v>X</v>
      </c>
      <c r="AH310" s="176">
        <f t="shared" si="217"/>
        <v>43.89</v>
      </c>
    </row>
    <row r="311" spans="2:34" ht="16.5" outlineLevel="1" x14ac:dyDescent="0.25">
      <c r="B311" s="175" t="s">
        <v>2777</v>
      </c>
      <c r="C311" s="176">
        <v>5.89</v>
      </c>
      <c r="D311" s="176">
        <v>10.64</v>
      </c>
      <c r="E311" s="194">
        <v>3</v>
      </c>
      <c r="F311" s="194">
        <v>0</v>
      </c>
      <c r="G311" s="194">
        <f t="shared" si="218"/>
        <v>3</v>
      </c>
      <c r="H311" s="176"/>
      <c r="I311" s="178" t="str">
        <f t="shared" si="199"/>
        <v>X</v>
      </c>
      <c r="J311" s="176">
        <f t="shared" si="200"/>
        <v>31.92</v>
      </c>
      <c r="K311" s="178" t="str">
        <f t="shared" si="201"/>
        <v xml:space="preserve"> </v>
      </c>
      <c r="L311" s="176">
        <f t="shared" si="222"/>
        <v>0</v>
      </c>
      <c r="M311" s="178" t="str">
        <f t="shared" si="203"/>
        <v>X</v>
      </c>
      <c r="N311" s="177">
        <f t="shared" si="204"/>
        <v>31.92</v>
      </c>
      <c r="O311" s="178" t="str">
        <f t="shared" si="205"/>
        <v xml:space="preserve"> </v>
      </c>
      <c r="P311" s="176">
        <f t="shared" si="206"/>
        <v>0</v>
      </c>
      <c r="Q311" s="178" t="s">
        <v>0</v>
      </c>
      <c r="R311" s="176"/>
      <c r="S311" s="178" t="s">
        <v>2579</v>
      </c>
      <c r="T311" s="178" t="str">
        <f t="shared" si="207"/>
        <v xml:space="preserve"> </v>
      </c>
      <c r="U311" s="176">
        <f t="shared" si="219"/>
        <v>0</v>
      </c>
      <c r="V311" s="178" t="str">
        <f t="shared" si="208"/>
        <v>X</v>
      </c>
      <c r="W311" s="176">
        <f t="shared" si="220"/>
        <v>31.92</v>
      </c>
      <c r="X311" s="178" t="str">
        <f t="shared" si="209"/>
        <v xml:space="preserve"> </v>
      </c>
      <c r="Y311" s="176">
        <f t="shared" si="221"/>
        <v>0</v>
      </c>
      <c r="Z311" s="178" t="s">
        <v>2581</v>
      </c>
      <c r="AA311" s="178" t="str">
        <f t="shared" si="210"/>
        <v>X</v>
      </c>
      <c r="AB311" s="176">
        <f t="shared" si="211"/>
        <v>5.89</v>
      </c>
      <c r="AC311" s="178" t="str">
        <f t="shared" si="212"/>
        <v xml:space="preserve"> </v>
      </c>
      <c r="AD311" s="176">
        <f t="shared" si="213"/>
        <v>0</v>
      </c>
      <c r="AE311" s="178" t="str">
        <f t="shared" si="214"/>
        <v xml:space="preserve"> </v>
      </c>
      <c r="AF311" s="176">
        <f t="shared" si="215"/>
        <v>0</v>
      </c>
      <c r="AG311" s="178" t="str">
        <f t="shared" si="216"/>
        <v>X</v>
      </c>
      <c r="AH311" s="176">
        <f t="shared" si="217"/>
        <v>10.64</v>
      </c>
    </row>
    <row r="312" spans="2:34" ht="16.5" outlineLevel="1" x14ac:dyDescent="0.25">
      <c r="B312" s="175" t="s">
        <v>2778</v>
      </c>
      <c r="C312" s="176">
        <v>66.42</v>
      </c>
      <c r="D312" s="176">
        <v>33.299999999999997</v>
      </c>
      <c r="E312" s="194">
        <v>3</v>
      </c>
      <c r="F312" s="194">
        <v>0</v>
      </c>
      <c r="G312" s="194">
        <f t="shared" si="218"/>
        <v>3</v>
      </c>
      <c r="H312" s="176"/>
      <c r="I312" s="178" t="str">
        <f t="shared" si="199"/>
        <v>X</v>
      </c>
      <c r="J312" s="176">
        <f t="shared" si="200"/>
        <v>99.899999999999991</v>
      </c>
      <c r="K312" s="178" t="str">
        <f t="shared" si="201"/>
        <v xml:space="preserve"> </v>
      </c>
      <c r="L312" s="176">
        <f t="shared" si="222"/>
        <v>0</v>
      </c>
      <c r="M312" s="178" t="str">
        <f t="shared" si="203"/>
        <v>X</v>
      </c>
      <c r="N312" s="177">
        <f t="shared" si="204"/>
        <v>99.899999999999991</v>
      </c>
      <c r="O312" s="178" t="str">
        <f t="shared" si="205"/>
        <v xml:space="preserve"> </v>
      </c>
      <c r="P312" s="176">
        <f t="shared" si="206"/>
        <v>0</v>
      </c>
      <c r="Q312" s="178" t="s">
        <v>0</v>
      </c>
      <c r="R312" s="176"/>
      <c r="S312" s="178" t="s">
        <v>2579</v>
      </c>
      <c r="T312" s="178" t="str">
        <f t="shared" si="207"/>
        <v xml:space="preserve"> </v>
      </c>
      <c r="U312" s="176">
        <f t="shared" si="219"/>
        <v>0</v>
      </c>
      <c r="V312" s="178" t="str">
        <f t="shared" si="208"/>
        <v>X</v>
      </c>
      <c r="W312" s="176">
        <f t="shared" si="220"/>
        <v>99.899999999999991</v>
      </c>
      <c r="X312" s="178" t="str">
        <f t="shared" si="209"/>
        <v xml:space="preserve"> </v>
      </c>
      <c r="Y312" s="176">
        <f t="shared" si="221"/>
        <v>0</v>
      </c>
      <c r="Z312" s="178" t="s">
        <v>2581</v>
      </c>
      <c r="AA312" s="178" t="str">
        <f t="shared" si="210"/>
        <v>X</v>
      </c>
      <c r="AB312" s="176">
        <f t="shared" si="211"/>
        <v>66.42</v>
      </c>
      <c r="AC312" s="178" t="str">
        <f t="shared" si="212"/>
        <v xml:space="preserve"> </v>
      </c>
      <c r="AD312" s="176">
        <f t="shared" si="213"/>
        <v>0</v>
      </c>
      <c r="AE312" s="178" t="str">
        <f t="shared" si="214"/>
        <v xml:space="preserve"> </v>
      </c>
      <c r="AF312" s="176">
        <f t="shared" si="215"/>
        <v>0</v>
      </c>
      <c r="AG312" s="178" t="str">
        <f t="shared" si="216"/>
        <v>X</v>
      </c>
      <c r="AH312" s="176">
        <f t="shared" si="217"/>
        <v>33.299999999999997</v>
      </c>
    </row>
    <row r="313" spans="2:34" ht="16.5" outlineLevel="1" x14ac:dyDescent="0.25">
      <c r="B313" s="175" t="s">
        <v>2779</v>
      </c>
      <c r="C313" s="176">
        <v>37.28</v>
      </c>
      <c r="D313" s="176">
        <v>26.64</v>
      </c>
      <c r="E313" s="194">
        <v>3</v>
      </c>
      <c r="F313" s="194">
        <v>0</v>
      </c>
      <c r="G313" s="194">
        <f t="shared" si="218"/>
        <v>3</v>
      </c>
      <c r="H313" s="176"/>
      <c r="I313" s="178" t="str">
        <f t="shared" si="199"/>
        <v>X</v>
      </c>
      <c r="J313" s="176">
        <f t="shared" ref="J313:J320" si="223">IF(I313="X",($D313-H313)*E313,0)</f>
        <v>79.92</v>
      </c>
      <c r="K313" s="178" t="str">
        <f t="shared" si="201"/>
        <v xml:space="preserve"> </v>
      </c>
      <c r="L313" s="176">
        <f t="shared" ref="L313:L320" si="224">IF(K313="X",($D313-H313)*F313,0)</f>
        <v>0</v>
      </c>
      <c r="M313" s="178" t="str">
        <f t="shared" si="203"/>
        <v>X</v>
      </c>
      <c r="N313" s="177">
        <f t="shared" ref="N313:N320" si="225">IF(M313="X",J313-L313,0)</f>
        <v>79.92</v>
      </c>
      <c r="O313" s="178" t="str">
        <f t="shared" si="205"/>
        <v xml:space="preserve"> </v>
      </c>
      <c r="P313" s="176">
        <f t="shared" ref="P313:P320" si="226">IF(L313&gt;0,L313,0)</f>
        <v>0</v>
      </c>
      <c r="Q313" s="178" t="s">
        <v>0</v>
      </c>
      <c r="R313" s="176"/>
      <c r="S313" s="178" t="s">
        <v>2579</v>
      </c>
      <c r="T313" s="178" t="str">
        <f t="shared" si="207"/>
        <v xml:space="preserve"> </v>
      </c>
      <c r="U313" s="176">
        <f t="shared" si="219"/>
        <v>0</v>
      </c>
      <c r="V313" s="178" t="str">
        <f t="shared" si="208"/>
        <v>X</v>
      </c>
      <c r="W313" s="176">
        <f t="shared" si="220"/>
        <v>79.92</v>
      </c>
      <c r="X313" s="178" t="str">
        <f t="shared" si="209"/>
        <v xml:space="preserve"> </v>
      </c>
      <c r="Y313" s="176">
        <f t="shared" si="221"/>
        <v>0</v>
      </c>
      <c r="Z313" s="178" t="s">
        <v>2581</v>
      </c>
      <c r="AA313" s="178" t="str">
        <f t="shared" si="210"/>
        <v>X</v>
      </c>
      <c r="AB313" s="176">
        <f t="shared" si="211"/>
        <v>37.28</v>
      </c>
      <c r="AC313" s="178" t="str">
        <f t="shared" si="212"/>
        <v xml:space="preserve"> </v>
      </c>
      <c r="AD313" s="176">
        <f t="shared" si="213"/>
        <v>0</v>
      </c>
      <c r="AE313" s="178" t="str">
        <f t="shared" si="214"/>
        <v xml:space="preserve"> </v>
      </c>
      <c r="AF313" s="176">
        <f t="shared" si="215"/>
        <v>0</v>
      </c>
      <c r="AG313" s="178" t="str">
        <f t="shared" si="216"/>
        <v>X</v>
      </c>
      <c r="AH313" s="176">
        <f t="shared" si="217"/>
        <v>26.64</v>
      </c>
    </row>
    <row r="314" spans="2:34" ht="16.5" outlineLevel="1" x14ac:dyDescent="0.25">
      <c r="B314" s="175" t="s">
        <v>2738</v>
      </c>
      <c r="C314" s="176">
        <v>21.63</v>
      </c>
      <c r="D314" s="176">
        <v>19.25</v>
      </c>
      <c r="E314" s="194">
        <v>3</v>
      </c>
      <c r="F314" s="194">
        <v>2.1</v>
      </c>
      <c r="G314" s="194">
        <f t="shared" si="218"/>
        <v>0.89999999999999991</v>
      </c>
      <c r="H314" s="176"/>
      <c r="I314" s="178" t="str">
        <f t="shared" si="199"/>
        <v>X</v>
      </c>
      <c r="J314" s="176">
        <f t="shared" si="223"/>
        <v>57.75</v>
      </c>
      <c r="K314" s="178" t="str">
        <f t="shared" si="201"/>
        <v>X</v>
      </c>
      <c r="L314" s="176">
        <f t="shared" si="224"/>
        <v>40.425000000000004</v>
      </c>
      <c r="M314" s="178" t="str">
        <f t="shared" si="203"/>
        <v>X</v>
      </c>
      <c r="N314" s="177">
        <f t="shared" si="225"/>
        <v>17.324999999999996</v>
      </c>
      <c r="O314" s="178" t="str">
        <f t="shared" si="205"/>
        <v>X</v>
      </c>
      <c r="P314" s="176">
        <f t="shared" si="226"/>
        <v>40.425000000000004</v>
      </c>
      <c r="Q314" s="178" t="s">
        <v>0</v>
      </c>
      <c r="R314" s="176"/>
      <c r="S314" s="178" t="s">
        <v>2578</v>
      </c>
      <c r="T314" s="178" t="str">
        <f t="shared" si="207"/>
        <v>X</v>
      </c>
      <c r="U314" s="176">
        <f t="shared" si="219"/>
        <v>17.324999999999996</v>
      </c>
      <c r="V314" s="178" t="str">
        <f t="shared" si="208"/>
        <v xml:space="preserve"> </v>
      </c>
      <c r="W314" s="176">
        <f t="shared" si="220"/>
        <v>0</v>
      </c>
      <c r="X314" s="178" t="str">
        <f t="shared" si="209"/>
        <v xml:space="preserve"> </v>
      </c>
      <c r="Y314" s="176">
        <f t="shared" si="221"/>
        <v>0</v>
      </c>
      <c r="Z314" s="178" t="s">
        <v>2581</v>
      </c>
      <c r="AA314" s="178" t="str">
        <f t="shared" si="210"/>
        <v>X</v>
      </c>
      <c r="AB314" s="176">
        <f t="shared" si="211"/>
        <v>21.63</v>
      </c>
      <c r="AC314" s="178" t="str">
        <f t="shared" si="212"/>
        <v xml:space="preserve"> </v>
      </c>
      <c r="AD314" s="176">
        <f t="shared" si="213"/>
        <v>0</v>
      </c>
      <c r="AE314" s="178" t="str">
        <f t="shared" si="214"/>
        <v xml:space="preserve"> </v>
      </c>
      <c r="AF314" s="176">
        <f t="shared" si="215"/>
        <v>0</v>
      </c>
      <c r="AG314" s="178" t="str">
        <f t="shared" si="216"/>
        <v/>
      </c>
      <c r="AH314" s="176">
        <f t="shared" si="217"/>
        <v>0</v>
      </c>
    </row>
    <row r="315" spans="2:34" ht="16.5" outlineLevel="1" x14ac:dyDescent="0.25">
      <c r="B315" s="175" t="s">
        <v>2611</v>
      </c>
      <c r="C315" s="176">
        <v>4.74</v>
      </c>
      <c r="D315" s="176">
        <v>9.8000000000000007</v>
      </c>
      <c r="E315" s="194">
        <v>3</v>
      </c>
      <c r="F315" s="194">
        <v>0</v>
      </c>
      <c r="G315" s="194">
        <f t="shared" si="218"/>
        <v>3</v>
      </c>
      <c r="H315" s="176"/>
      <c r="I315" s="178" t="str">
        <f t="shared" si="199"/>
        <v>X</v>
      </c>
      <c r="J315" s="176">
        <f t="shared" si="223"/>
        <v>29.400000000000002</v>
      </c>
      <c r="K315" s="178" t="str">
        <f t="shared" si="201"/>
        <v xml:space="preserve"> </v>
      </c>
      <c r="L315" s="176">
        <f t="shared" si="224"/>
        <v>0</v>
      </c>
      <c r="M315" s="178" t="str">
        <f t="shared" si="203"/>
        <v>X</v>
      </c>
      <c r="N315" s="177">
        <f t="shared" si="225"/>
        <v>29.400000000000002</v>
      </c>
      <c r="O315" s="178" t="str">
        <f t="shared" si="205"/>
        <v xml:space="preserve"> </v>
      </c>
      <c r="P315" s="176">
        <f t="shared" si="226"/>
        <v>0</v>
      </c>
      <c r="Q315" s="178" t="s">
        <v>0</v>
      </c>
      <c r="R315" s="176"/>
      <c r="S315" s="178" t="s">
        <v>2579</v>
      </c>
      <c r="T315" s="178" t="str">
        <f t="shared" si="207"/>
        <v xml:space="preserve"> </v>
      </c>
      <c r="U315" s="176">
        <f t="shared" si="219"/>
        <v>0</v>
      </c>
      <c r="V315" s="178" t="str">
        <f t="shared" si="208"/>
        <v>X</v>
      </c>
      <c r="W315" s="176">
        <f t="shared" si="220"/>
        <v>29.400000000000002</v>
      </c>
      <c r="X315" s="178" t="str">
        <f t="shared" si="209"/>
        <v xml:space="preserve"> </v>
      </c>
      <c r="Y315" s="176">
        <f t="shared" si="221"/>
        <v>0</v>
      </c>
      <c r="Z315" s="178" t="s">
        <v>2581</v>
      </c>
      <c r="AA315" s="178" t="str">
        <f t="shared" si="210"/>
        <v>X</v>
      </c>
      <c r="AB315" s="176">
        <f t="shared" si="211"/>
        <v>4.74</v>
      </c>
      <c r="AC315" s="178" t="str">
        <f t="shared" si="212"/>
        <v xml:space="preserve"> </v>
      </c>
      <c r="AD315" s="176">
        <f t="shared" si="213"/>
        <v>0</v>
      </c>
      <c r="AE315" s="178" t="str">
        <f t="shared" si="214"/>
        <v xml:space="preserve"> </v>
      </c>
      <c r="AF315" s="176">
        <f t="shared" si="215"/>
        <v>0</v>
      </c>
      <c r="AG315" s="178" t="str">
        <f t="shared" si="216"/>
        <v>X</v>
      </c>
      <c r="AH315" s="176">
        <f t="shared" si="217"/>
        <v>9.8000000000000007</v>
      </c>
    </row>
    <row r="316" spans="2:34" ht="16.5" outlineLevel="1" x14ac:dyDescent="0.25">
      <c r="B316" s="175" t="s">
        <v>2739</v>
      </c>
      <c r="C316" s="176">
        <v>21.95</v>
      </c>
      <c r="D316" s="176">
        <v>20</v>
      </c>
      <c r="E316" s="194">
        <v>3</v>
      </c>
      <c r="F316" s="194">
        <v>2.1</v>
      </c>
      <c r="G316" s="194">
        <f t="shared" si="218"/>
        <v>0.89999999999999991</v>
      </c>
      <c r="H316" s="176"/>
      <c r="I316" s="178" t="str">
        <f t="shared" si="199"/>
        <v>X</v>
      </c>
      <c r="J316" s="176">
        <f t="shared" si="223"/>
        <v>60</v>
      </c>
      <c r="K316" s="178" t="str">
        <f t="shared" si="201"/>
        <v>X</v>
      </c>
      <c r="L316" s="176">
        <f t="shared" si="224"/>
        <v>42</v>
      </c>
      <c r="M316" s="178" t="str">
        <f t="shared" si="203"/>
        <v>X</v>
      </c>
      <c r="N316" s="177">
        <f t="shared" si="225"/>
        <v>18</v>
      </c>
      <c r="O316" s="178" t="str">
        <f t="shared" si="205"/>
        <v>X</v>
      </c>
      <c r="P316" s="176">
        <f t="shared" si="226"/>
        <v>42</v>
      </c>
      <c r="Q316" s="178" t="s">
        <v>0</v>
      </c>
      <c r="R316" s="176"/>
      <c r="S316" s="178" t="s">
        <v>2578</v>
      </c>
      <c r="T316" s="178" t="str">
        <f t="shared" si="207"/>
        <v>X</v>
      </c>
      <c r="U316" s="176">
        <f t="shared" si="219"/>
        <v>18</v>
      </c>
      <c r="V316" s="178" t="str">
        <f t="shared" si="208"/>
        <v xml:space="preserve"> </v>
      </c>
      <c r="W316" s="176">
        <f t="shared" si="220"/>
        <v>0</v>
      </c>
      <c r="X316" s="178" t="str">
        <f t="shared" si="209"/>
        <v xml:space="preserve"> </v>
      </c>
      <c r="Y316" s="176">
        <f t="shared" si="221"/>
        <v>0</v>
      </c>
      <c r="Z316" s="178" t="s">
        <v>2581</v>
      </c>
      <c r="AA316" s="178" t="str">
        <f t="shared" si="210"/>
        <v>X</v>
      </c>
      <c r="AB316" s="176">
        <f t="shared" si="211"/>
        <v>21.95</v>
      </c>
      <c r="AC316" s="178" t="str">
        <f t="shared" si="212"/>
        <v xml:space="preserve"> </v>
      </c>
      <c r="AD316" s="176">
        <f t="shared" si="213"/>
        <v>0</v>
      </c>
      <c r="AE316" s="178" t="str">
        <f t="shared" si="214"/>
        <v xml:space="preserve"> </v>
      </c>
      <c r="AF316" s="176">
        <f t="shared" si="215"/>
        <v>0</v>
      </c>
      <c r="AG316" s="178" t="str">
        <f t="shared" si="216"/>
        <v/>
      </c>
      <c r="AH316" s="176">
        <f t="shared" si="217"/>
        <v>0</v>
      </c>
    </row>
    <row r="317" spans="2:34" ht="16.5" outlineLevel="1" x14ac:dyDescent="0.25">
      <c r="B317" s="175" t="s">
        <v>2611</v>
      </c>
      <c r="C317" s="176">
        <v>4.29</v>
      </c>
      <c r="D317" s="176">
        <v>9.5500000000000007</v>
      </c>
      <c r="E317" s="194">
        <v>3</v>
      </c>
      <c r="F317" s="194">
        <v>0</v>
      </c>
      <c r="G317" s="194">
        <f t="shared" si="218"/>
        <v>3</v>
      </c>
      <c r="H317" s="176"/>
      <c r="I317" s="178" t="str">
        <f t="shared" si="199"/>
        <v>X</v>
      </c>
      <c r="J317" s="176">
        <f t="shared" si="223"/>
        <v>28.650000000000002</v>
      </c>
      <c r="K317" s="178" t="str">
        <f t="shared" si="201"/>
        <v xml:space="preserve"> </v>
      </c>
      <c r="L317" s="176">
        <f t="shared" si="224"/>
        <v>0</v>
      </c>
      <c r="M317" s="178" t="str">
        <f t="shared" si="203"/>
        <v>X</v>
      </c>
      <c r="N317" s="177">
        <f t="shared" si="225"/>
        <v>28.650000000000002</v>
      </c>
      <c r="O317" s="178" t="str">
        <f t="shared" si="205"/>
        <v xml:space="preserve"> </v>
      </c>
      <c r="P317" s="176">
        <f t="shared" si="226"/>
        <v>0</v>
      </c>
      <c r="Q317" s="178" t="s">
        <v>0</v>
      </c>
      <c r="R317" s="176"/>
      <c r="S317" s="178" t="s">
        <v>2579</v>
      </c>
      <c r="T317" s="178" t="str">
        <f t="shared" si="207"/>
        <v xml:space="preserve"> </v>
      </c>
      <c r="U317" s="176">
        <f t="shared" si="219"/>
        <v>0</v>
      </c>
      <c r="V317" s="178" t="str">
        <f t="shared" si="208"/>
        <v>X</v>
      </c>
      <c r="W317" s="176">
        <f t="shared" si="220"/>
        <v>28.650000000000002</v>
      </c>
      <c r="X317" s="178" t="str">
        <f t="shared" si="209"/>
        <v xml:space="preserve"> </v>
      </c>
      <c r="Y317" s="176">
        <f t="shared" si="221"/>
        <v>0</v>
      </c>
      <c r="Z317" s="178" t="s">
        <v>2581</v>
      </c>
      <c r="AA317" s="178" t="str">
        <f t="shared" si="210"/>
        <v>X</v>
      </c>
      <c r="AB317" s="176">
        <f t="shared" si="211"/>
        <v>4.29</v>
      </c>
      <c r="AC317" s="178" t="str">
        <f t="shared" si="212"/>
        <v xml:space="preserve"> </v>
      </c>
      <c r="AD317" s="176">
        <f t="shared" si="213"/>
        <v>0</v>
      </c>
      <c r="AE317" s="178" t="str">
        <f t="shared" si="214"/>
        <v xml:space="preserve"> </v>
      </c>
      <c r="AF317" s="176">
        <f t="shared" si="215"/>
        <v>0</v>
      </c>
      <c r="AG317" s="178" t="str">
        <f t="shared" si="216"/>
        <v>X</v>
      </c>
      <c r="AH317" s="176">
        <f t="shared" si="217"/>
        <v>9.5500000000000007</v>
      </c>
    </row>
    <row r="318" spans="2:34" ht="16.5" outlineLevel="1" x14ac:dyDescent="0.25">
      <c r="B318" s="175" t="s">
        <v>2780</v>
      </c>
      <c r="C318" s="176">
        <v>38.44</v>
      </c>
      <c r="D318" s="176">
        <v>26.2</v>
      </c>
      <c r="E318" s="194">
        <v>3</v>
      </c>
      <c r="F318" s="194">
        <v>0</v>
      </c>
      <c r="G318" s="194">
        <f t="shared" si="218"/>
        <v>3</v>
      </c>
      <c r="H318" s="176"/>
      <c r="I318" s="178" t="str">
        <f t="shared" si="199"/>
        <v>X</v>
      </c>
      <c r="J318" s="176">
        <f t="shared" si="223"/>
        <v>78.599999999999994</v>
      </c>
      <c r="K318" s="178" t="str">
        <f t="shared" si="201"/>
        <v xml:space="preserve"> </v>
      </c>
      <c r="L318" s="176">
        <f t="shared" si="224"/>
        <v>0</v>
      </c>
      <c r="M318" s="178" t="str">
        <f t="shared" si="203"/>
        <v>X</v>
      </c>
      <c r="N318" s="177">
        <f t="shared" si="225"/>
        <v>78.599999999999994</v>
      </c>
      <c r="O318" s="178" t="str">
        <f t="shared" si="205"/>
        <v xml:space="preserve"> </v>
      </c>
      <c r="P318" s="176">
        <f t="shared" si="226"/>
        <v>0</v>
      </c>
      <c r="Q318" s="178" t="s">
        <v>0</v>
      </c>
      <c r="R318" s="176"/>
      <c r="S318" s="178" t="s">
        <v>2579</v>
      </c>
      <c r="T318" s="178" t="str">
        <f t="shared" si="207"/>
        <v xml:space="preserve"> </v>
      </c>
      <c r="U318" s="176">
        <f t="shared" si="219"/>
        <v>0</v>
      </c>
      <c r="V318" s="178" t="str">
        <f t="shared" si="208"/>
        <v>X</v>
      </c>
      <c r="W318" s="176">
        <f t="shared" si="220"/>
        <v>78.599999999999994</v>
      </c>
      <c r="X318" s="178" t="str">
        <f t="shared" si="209"/>
        <v xml:space="preserve"> </v>
      </c>
      <c r="Y318" s="176">
        <f t="shared" si="221"/>
        <v>0</v>
      </c>
      <c r="Z318" s="178" t="s">
        <v>2581</v>
      </c>
      <c r="AA318" s="178" t="str">
        <f t="shared" si="210"/>
        <v>X</v>
      </c>
      <c r="AB318" s="176">
        <f t="shared" si="211"/>
        <v>38.44</v>
      </c>
      <c r="AC318" s="178" t="str">
        <f t="shared" si="212"/>
        <v xml:space="preserve"> </v>
      </c>
      <c r="AD318" s="176">
        <f t="shared" si="213"/>
        <v>0</v>
      </c>
      <c r="AE318" s="178" t="str">
        <f t="shared" si="214"/>
        <v xml:space="preserve"> </v>
      </c>
      <c r="AF318" s="176">
        <f t="shared" si="215"/>
        <v>0</v>
      </c>
      <c r="AG318" s="178" t="str">
        <f t="shared" si="216"/>
        <v>X</v>
      </c>
      <c r="AH318" s="176">
        <f t="shared" si="217"/>
        <v>26.2</v>
      </c>
    </row>
    <row r="319" spans="2:34" ht="16.5" outlineLevel="1" x14ac:dyDescent="0.25">
      <c r="B319" s="175" t="s">
        <v>2781</v>
      </c>
      <c r="C319" s="176">
        <v>22.27</v>
      </c>
      <c r="D319" s="176">
        <v>20.55</v>
      </c>
      <c r="E319" s="194">
        <v>3</v>
      </c>
      <c r="F319" s="194">
        <v>0</v>
      </c>
      <c r="G319" s="194">
        <f t="shared" si="218"/>
        <v>3</v>
      </c>
      <c r="H319" s="176"/>
      <c r="I319" s="178" t="str">
        <f t="shared" si="199"/>
        <v>X</v>
      </c>
      <c r="J319" s="176">
        <f t="shared" si="223"/>
        <v>61.650000000000006</v>
      </c>
      <c r="K319" s="178" t="str">
        <f t="shared" si="201"/>
        <v xml:space="preserve"> </v>
      </c>
      <c r="L319" s="176">
        <f t="shared" si="224"/>
        <v>0</v>
      </c>
      <c r="M319" s="178" t="str">
        <f t="shared" si="203"/>
        <v>X</v>
      </c>
      <c r="N319" s="177">
        <f t="shared" si="225"/>
        <v>61.650000000000006</v>
      </c>
      <c r="O319" s="178" t="str">
        <f t="shared" si="205"/>
        <v xml:space="preserve"> </v>
      </c>
      <c r="P319" s="176">
        <f t="shared" si="226"/>
        <v>0</v>
      </c>
      <c r="Q319" s="178" t="s">
        <v>0</v>
      </c>
      <c r="R319" s="176"/>
      <c r="S319" s="178" t="s">
        <v>2579</v>
      </c>
      <c r="T319" s="178" t="str">
        <f t="shared" si="207"/>
        <v xml:space="preserve"> </v>
      </c>
      <c r="U319" s="176">
        <f t="shared" si="219"/>
        <v>0</v>
      </c>
      <c r="V319" s="178" t="str">
        <f t="shared" si="208"/>
        <v>X</v>
      </c>
      <c r="W319" s="176">
        <f t="shared" si="220"/>
        <v>61.650000000000006</v>
      </c>
      <c r="X319" s="178" t="str">
        <f t="shared" si="209"/>
        <v xml:space="preserve"> </v>
      </c>
      <c r="Y319" s="176">
        <f t="shared" si="221"/>
        <v>0</v>
      </c>
      <c r="Z319" s="178" t="s">
        <v>2581</v>
      </c>
      <c r="AA319" s="178" t="str">
        <f t="shared" si="210"/>
        <v>X</v>
      </c>
      <c r="AB319" s="176">
        <f t="shared" si="211"/>
        <v>22.27</v>
      </c>
      <c r="AC319" s="178" t="str">
        <f t="shared" si="212"/>
        <v xml:space="preserve"> </v>
      </c>
      <c r="AD319" s="176">
        <f t="shared" si="213"/>
        <v>0</v>
      </c>
      <c r="AE319" s="178" t="str">
        <f t="shared" si="214"/>
        <v xml:space="preserve"> </v>
      </c>
      <c r="AF319" s="176">
        <f t="shared" si="215"/>
        <v>0</v>
      </c>
      <c r="AG319" s="178" t="str">
        <f t="shared" si="216"/>
        <v>X</v>
      </c>
      <c r="AH319" s="176">
        <f t="shared" si="217"/>
        <v>20.55</v>
      </c>
    </row>
    <row r="320" spans="2:34" ht="16.5" outlineLevel="1" x14ac:dyDescent="0.25">
      <c r="B320" s="175" t="s">
        <v>2594</v>
      </c>
      <c r="C320" s="176">
        <v>68.17</v>
      </c>
      <c r="D320" s="176">
        <v>65.17</v>
      </c>
      <c r="E320" s="194">
        <v>3</v>
      </c>
      <c r="F320" s="194">
        <v>0</v>
      </c>
      <c r="G320" s="194">
        <f t="shared" si="218"/>
        <v>3</v>
      </c>
      <c r="H320" s="176">
        <v>2.2000000000000002</v>
      </c>
      <c r="I320" s="178" t="str">
        <f t="shared" si="199"/>
        <v>X</v>
      </c>
      <c r="J320" s="176">
        <f t="shared" si="223"/>
        <v>188.91</v>
      </c>
      <c r="K320" s="178" t="str">
        <f t="shared" si="201"/>
        <v xml:space="preserve"> </v>
      </c>
      <c r="L320" s="176">
        <f t="shared" si="224"/>
        <v>0</v>
      </c>
      <c r="M320" s="178" t="str">
        <f t="shared" si="203"/>
        <v>X</v>
      </c>
      <c r="N320" s="177">
        <f t="shared" si="225"/>
        <v>188.91</v>
      </c>
      <c r="O320" s="178" t="str">
        <f t="shared" si="205"/>
        <v xml:space="preserve"> </v>
      </c>
      <c r="P320" s="176">
        <f t="shared" si="226"/>
        <v>0</v>
      </c>
      <c r="Q320" s="178" t="s">
        <v>0</v>
      </c>
      <c r="R320" s="176"/>
      <c r="S320" s="178" t="s">
        <v>2579</v>
      </c>
      <c r="T320" s="178" t="str">
        <f t="shared" si="207"/>
        <v xml:space="preserve"> </v>
      </c>
      <c r="U320" s="176">
        <f t="shared" si="219"/>
        <v>0</v>
      </c>
      <c r="V320" s="178" t="str">
        <f t="shared" si="208"/>
        <v>X</v>
      </c>
      <c r="W320" s="176">
        <f t="shared" si="220"/>
        <v>188.91</v>
      </c>
      <c r="X320" s="178" t="str">
        <f t="shared" si="209"/>
        <v xml:space="preserve"> </v>
      </c>
      <c r="Y320" s="176">
        <f t="shared" si="221"/>
        <v>0</v>
      </c>
      <c r="Z320" s="178" t="s">
        <v>2582</v>
      </c>
      <c r="AA320" s="178" t="str">
        <f t="shared" si="210"/>
        <v xml:space="preserve"> </v>
      </c>
      <c r="AB320" s="176">
        <f t="shared" si="211"/>
        <v>0</v>
      </c>
      <c r="AC320" s="178" t="str">
        <f t="shared" si="212"/>
        <v>X</v>
      </c>
      <c r="AD320" s="176">
        <f t="shared" si="213"/>
        <v>68.17</v>
      </c>
      <c r="AE320" s="178" t="str">
        <f t="shared" si="214"/>
        <v xml:space="preserve"> </v>
      </c>
      <c r="AF320" s="176">
        <f t="shared" si="215"/>
        <v>0</v>
      </c>
      <c r="AG320" s="178" t="str">
        <f t="shared" si="216"/>
        <v>X</v>
      </c>
      <c r="AH320" s="176">
        <f t="shared" si="217"/>
        <v>62.97</v>
      </c>
    </row>
    <row r="321" spans="2:34" ht="16.5" x14ac:dyDescent="0.25">
      <c r="B321" s="182"/>
      <c r="C321" s="185"/>
      <c r="D321" s="185"/>
      <c r="E321" s="185"/>
      <c r="F321" s="185"/>
      <c r="G321" s="185"/>
      <c r="H321" s="185"/>
      <c r="I321" s="184"/>
      <c r="J321" s="185"/>
      <c r="K321" s="184"/>
      <c r="L321" s="185"/>
      <c r="M321" s="184"/>
      <c r="N321" s="185"/>
      <c r="O321" s="201"/>
      <c r="P321" s="185"/>
      <c r="Q321" s="184"/>
      <c r="R321" s="189"/>
      <c r="S321" s="185"/>
      <c r="T321" s="184"/>
      <c r="U321" s="185"/>
      <c r="V321" s="184"/>
      <c r="W321" s="185"/>
      <c r="X321" s="184"/>
      <c r="Y321" s="189"/>
      <c r="Z321" s="185"/>
      <c r="AA321" s="184"/>
      <c r="AB321" s="185"/>
      <c r="AC321" s="184"/>
      <c r="AD321" s="185"/>
      <c r="AE321" s="184"/>
      <c r="AF321" s="189"/>
      <c r="AG321" s="184"/>
      <c r="AH321" s="189"/>
    </row>
    <row r="322" spans="2:34" ht="16.5" x14ac:dyDescent="0.25">
      <c r="B322" s="929" t="s">
        <v>2782</v>
      </c>
      <c r="C322" s="930"/>
      <c r="D322" s="930"/>
      <c r="E322" s="930"/>
      <c r="F322" s="930"/>
      <c r="G322" s="930"/>
      <c r="H322" s="931"/>
      <c r="I322" s="190" t="s">
        <v>2586</v>
      </c>
      <c r="J322" s="191">
        <f>SUBTOTAL(9,J323:J341)</f>
        <v>812.6099999999999</v>
      </c>
      <c r="K322" s="192" t="s">
        <v>2586</v>
      </c>
      <c r="L322" s="191">
        <f>SUBTOTAL(9,L323:L341)</f>
        <v>131.77500000000001</v>
      </c>
      <c r="M322" s="190" t="s">
        <v>2586</v>
      </c>
      <c r="N322" s="200">
        <f>SUBTOTAL(9,N323:N341)</f>
        <v>680.83500000000004</v>
      </c>
      <c r="O322" s="190" t="s">
        <v>2586</v>
      </c>
      <c r="P322" s="191">
        <f>SUBTOTAL(9,P323:P341)</f>
        <v>132.77500000000001</v>
      </c>
      <c r="Q322" s="190" t="s">
        <v>2586</v>
      </c>
      <c r="R322" s="191">
        <f>SUBTOTAL(9,R323:R341)</f>
        <v>0</v>
      </c>
      <c r="S322" s="191"/>
      <c r="T322" s="190" t="s">
        <v>2586</v>
      </c>
      <c r="U322" s="200">
        <f>SUBTOTAL(9,U323:U341)</f>
        <v>377.44500000000005</v>
      </c>
      <c r="V322" s="190" t="s">
        <v>2586</v>
      </c>
      <c r="W322" s="191">
        <f>SUBTOTAL(9,W323:W341)</f>
        <v>303.39</v>
      </c>
      <c r="X322" s="190" t="s">
        <v>2586</v>
      </c>
      <c r="Y322" s="191">
        <f>SUBTOTAL(9,Y323:Y341)</f>
        <v>0</v>
      </c>
      <c r="Z322" s="191"/>
      <c r="AA322" s="190" t="s">
        <v>2586</v>
      </c>
      <c r="AB322" s="200">
        <f>SUBTOTAL(9,AB323:AB341)</f>
        <v>249.91000000000003</v>
      </c>
      <c r="AC322" s="190" t="s">
        <v>2586</v>
      </c>
      <c r="AD322" s="191">
        <f>SUBTOTAL(9,AD323:AD341)</f>
        <v>0</v>
      </c>
      <c r="AE322" s="190" t="s">
        <v>2586</v>
      </c>
      <c r="AF322" s="191">
        <f>SUBTOTAL(9,AF323:AF341)</f>
        <v>0</v>
      </c>
      <c r="AG322" s="190" t="s">
        <v>2586</v>
      </c>
      <c r="AH322" s="191">
        <f>SUBTOTAL(9,AH323:AH341)</f>
        <v>208.12</v>
      </c>
    </row>
    <row r="323" spans="2:34" ht="16.5" outlineLevel="1" x14ac:dyDescent="0.25">
      <c r="B323" s="175" t="s">
        <v>2596</v>
      </c>
      <c r="C323" s="176">
        <v>1.96</v>
      </c>
      <c r="D323" s="176">
        <v>5.66</v>
      </c>
      <c r="E323" s="194">
        <v>3</v>
      </c>
      <c r="F323" s="194">
        <v>2.1</v>
      </c>
      <c r="G323" s="194">
        <f>E323-F323</f>
        <v>0.89999999999999991</v>
      </c>
      <c r="H323" s="176"/>
      <c r="I323" s="178" t="str">
        <f t="shared" ref="I323:I341" si="227">IF($E323&gt;0,"X"," ")</f>
        <v>X</v>
      </c>
      <c r="J323" s="176">
        <f t="shared" ref="J323:J332" si="228">IF(I323="X",($D323-H323)*E323,0)</f>
        <v>16.98</v>
      </c>
      <c r="K323" s="178" t="str">
        <f t="shared" ref="K323:K341" si="229">IF($F323&gt;0,"X"," ")</f>
        <v>X</v>
      </c>
      <c r="L323" s="176">
        <f t="shared" ref="L323:L332" si="230">IF(K323="X",($D323-H323)*F323,0)</f>
        <v>11.886000000000001</v>
      </c>
      <c r="M323" s="178" t="str">
        <f t="shared" ref="M323:M341" si="231">IF($E323&gt;0,"X"," ")</f>
        <v>X</v>
      </c>
      <c r="N323" s="177">
        <f t="shared" ref="N323:N332" si="232">IF(M323="X",J323-L323,0)</f>
        <v>5.0939999999999994</v>
      </c>
      <c r="O323" s="178" t="str">
        <f t="shared" ref="O323:O341" si="233">IF($F323&gt;0,"X"," ")</f>
        <v>X</v>
      </c>
      <c r="P323" s="176">
        <f t="shared" ref="P323:P332" si="234">IF(L323&gt;0,L323,0)</f>
        <v>11.886000000000001</v>
      </c>
      <c r="Q323" s="178" t="s">
        <v>0</v>
      </c>
      <c r="R323" s="176"/>
      <c r="S323" s="178" t="s">
        <v>2578</v>
      </c>
      <c r="T323" s="178" t="str">
        <f t="shared" ref="T323:T341" si="235">IF($S323="ACRÍLICA","X"," ")</f>
        <v>X</v>
      </c>
      <c r="U323" s="176">
        <f>IF(T323="X",$N323,0)</f>
        <v>5.0939999999999994</v>
      </c>
      <c r="V323" s="178" t="str">
        <f t="shared" ref="V323:V341" si="236">IF($S323="EPÓXI","X"," ")</f>
        <v xml:space="preserve"> </v>
      </c>
      <c r="W323" s="176">
        <f>IF(V323="X",$N323,0)</f>
        <v>0</v>
      </c>
      <c r="X323" s="178" t="str">
        <f t="shared" ref="X323:X341" si="237">IF($S323="TEXTURA","X"," ")</f>
        <v xml:space="preserve"> </v>
      </c>
      <c r="Y323" s="176">
        <f>IF(X323="X",$N323,0)</f>
        <v>0</v>
      </c>
      <c r="Z323" s="178" t="s">
        <v>2581</v>
      </c>
      <c r="AA323" s="178" t="str">
        <f t="shared" ref="AA323:AA341" si="238">IF($Z323="ACARTONADO","X"," ")</f>
        <v>X</v>
      </c>
      <c r="AB323" s="176">
        <f t="shared" ref="AB323:AB341" si="239">IF(AA323="X",$C323,0)</f>
        <v>1.96</v>
      </c>
      <c r="AC323" s="178" t="str">
        <f t="shared" ref="AC323:AC341" si="240">IF($Z323="MINERAL","X"," ")</f>
        <v xml:space="preserve"> </v>
      </c>
      <c r="AD323" s="176">
        <f t="shared" ref="AD323:AD341" si="241">IF(AC323="X",$C323,0)</f>
        <v>0</v>
      </c>
      <c r="AE323" s="178" t="str">
        <f t="shared" ref="AE323:AE341" si="242">IF($Z323="LAJE","X"," ")</f>
        <v xml:space="preserve"> </v>
      </c>
      <c r="AF323" s="176">
        <f t="shared" ref="AF323:AF341" si="243">IF(AE323="X",$C323,0)</f>
        <v>0</v>
      </c>
      <c r="AG323" s="178" t="str">
        <f t="shared" ref="AG323:AG341" si="244">IF(K323="X","","X")</f>
        <v/>
      </c>
      <c r="AH323" s="176">
        <f t="shared" ref="AH323:AH341" si="245">IF(AG323="X",$D323-H323,0)</f>
        <v>0</v>
      </c>
    </row>
    <row r="324" spans="2:34" ht="16.5" outlineLevel="1" x14ac:dyDescent="0.25">
      <c r="B324" s="175" t="s">
        <v>2597</v>
      </c>
      <c r="C324" s="176">
        <v>1.96</v>
      </c>
      <c r="D324" s="176">
        <v>5.66</v>
      </c>
      <c r="E324" s="194">
        <v>3</v>
      </c>
      <c r="F324" s="194">
        <v>2.1</v>
      </c>
      <c r="G324" s="194">
        <f t="shared" ref="G324:G341" si="246">E324-F324</f>
        <v>0.89999999999999991</v>
      </c>
      <c r="H324" s="176"/>
      <c r="I324" s="178" t="str">
        <f t="shared" si="227"/>
        <v>X</v>
      </c>
      <c r="J324" s="176">
        <f t="shared" si="228"/>
        <v>16.98</v>
      </c>
      <c r="K324" s="178" t="str">
        <f t="shared" si="229"/>
        <v>X</v>
      </c>
      <c r="L324" s="176">
        <f t="shared" si="230"/>
        <v>11.886000000000001</v>
      </c>
      <c r="M324" s="178" t="str">
        <f t="shared" si="231"/>
        <v>X</v>
      </c>
      <c r="N324" s="177">
        <f t="shared" si="232"/>
        <v>5.0939999999999994</v>
      </c>
      <c r="O324" s="178" t="str">
        <f t="shared" si="233"/>
        <v>X</v>
      </c>
      <c r="P324" s="176">
        <f t="shared" si="234"/>
        <v>11.886000000000001</v>
      </c>
      <c r="Q324" s="178" t="s">
        <v>0</v>
      </c>
      <c r="R324" s="176"/>
      <c r="S324" s="178" t="s">
        <v>2578</v>
      </c>
      <c r="T324" s="178" t="str">
        <f t="shared" si="235"/>
        <v>X</v>
      </c>
      <c r="U324" s="176">
        <f t="shared" ref="U324:U341" si="247">IF(T324="X",$N324,0)</f>
        <v>5.0939999999999994</v>
      </c>
      <c r="V324" s="178" t="str">
        <f t="shared" si="236"/>
        <v xml:space="preserve"> </v>
      </c>
      <c r="W324" s="176">
        <f t="shared" ref="W324:W341" si="248">IF(V324="X",$N324,0)</f>
        <v>0</v>
      </c>
      <c r="X324" s="178" t="str">
        <f t="shared" si="237"/>
        <v xml:space="preserve"> </v>
      </c>
      <c r="Y324" s="176">
        <f t="shared" ref="Y324:Y341" si="249">IF(X324="X",$N324,0)</f>
        <v>0</v>
      </c>
      <c r="Z324" s="178" t="s">
        <v>2581</v>
      </c>
      <c r="AA324" s="178" t="str">
        <f t="shared" si="238"/>
        <v>X</v>
      </c>
      <c r="AB324" s="176">
        <f t="shared" si="239"/>
        <v>1.96</v>
      </c>
      <c r="AC324" s="178" t="str">
        <f t="shared" si="240"/>
        <v xml:space="preserve"> </v>
      </c>
      <c r="AD324" s="176">
        <f t="shared" si="241"/>
        <v>0</v>
      </c>
      <c r="AE324" s="178" t="str">
        <f t="shared" si="242"/>
        <v xml:space="preserve"> </v>
      </c>
      <c r="AF324" s="176">
        <f t="shared" si="243"/>
        <v>0</v>
      </c>
      <c r="AG324" s="178" t="str">
        <f t="shared" si="244"/>
        <v/>
      </c>
      <c r="AH324" s="176">
        <f t="shared" si="245"/>
        <v>0</v>
      </c>
    </row>
    <row r="325" spans="2:34" ht="16.5" outlineLevel="1" x14ac:dyDescent="0.25">
      <c r="B325" s="175" t="s">
        <v>2611</v>
      </c>
      <c r="C325" s="176">
        <v>3.06</v>
      </c>
      <c r="D325" s="176">
        <v>7.5</v>
      </c>
      <c r="E325" s="194">
        <v>3</v>
      </c>
      <c r="F325" s="194">
        <v>0</v>
      </c>
      <c r="G325" s="194">
        <f t="shared" si="246"/>
        <v>3</v>
      </c>
      <c r="H325" s="176"/>
      <c r="I325" s="178" t="str">
        <f t="shared" si="227"/>
        <v>X</v>
      </c>
      <c r="J325" s="176">
        <f t="shared" si="228"/>
        <v>22.5</v>
      </c>
      <c r="K325" s="178" t="str">
        <f t="shared" si="229"/>
        <v xml:space="preserve"> </v>
      </c>
      <c r="L325" s="176">
        <f t="shared" si="230"/>
        <v>0</v>
      </c>
      <c r="M325" s="178" t="str">
        <f t="shared" si="231"/>
        <v>X</v>
      </c>
      <c r="N325" s="177">
        <f t="shared" si="232"/>
        <v>22.5</v>
      </c>
      <c r="O325" s="178" t="str">
        <f t="shared" si="233"/>
        <v xml:space="preserve"> </v>
      </c>
      <c r="P325" s="176">
        <f t="shared" si="234"/>
        <v>0</v>
      </c>
      <c r="Q325" s="178" t="s">
        <v>0</v>
      </c>
      <c r="R325" s="176"/>
      <c r="S325" s="178" t="s">
        <v>2578</v>
      </c>
      <c r="T325" s="178" t="str">
        <f t="shared" si="235"/>
        <v>X</v>
      </c>
      <c r="U325" s="176">
        <f t="shared" si="247"/>
        <v>22.5</v>
      </c>
      <c r="V325" s="178" t="str">
        <f t="shared" si="236"/>
        <v xml:space="preserve"> </v>
      </c>
      <c r="W325" s="176">
        <f t="shared" si="248"/>
        <v>0</v>
      </c>
      <c r="X325" s="178" t="str">
        <f t="shared" si="237"/>
        <v xml:space="preserve"> </v>
      </c>
      <c r="Y325" s="176">
        <f t="shared" si="249"/>
        <v>0</v>
      </c>
      <c r="Z325" s="178" t="s">
        <v>2581</v>
      </c>
      <c r="AA325" s="178" t="str">
        <f t="shared" si="238"/>
        <v>X</v>
      </c>
      <c r="AB325" s="176">
        <f t="shared" si="239"/>
        <v>3.06</v>
      </c>
      <c r="AC325" s="178" t="str">
        <f t="shared" si="240"/>
        <v xml:space="preserve"> </v>
      </c>
      <c r="AD325" s="176">
        <f t="shared" si="241"/>
        <v>0</v>
      </c>
      <c r="AE325" s="178" t="str">
        <f t="shared" si="242"/>
        <v xml:space="preserve"> </v>
      </c>
      <c r="AF325" s="176">
        <f t="shared" si="243"/>
        <v>0</v>
      </c>
      <c r="AG325" s="178" t="str">
        <f t="shared" si="244"/>
        <v>X</v>
      </c>
      <c r="AH325" s="176">
        <f t="shared" si="245"/>
        <v>7.5</v>
      </c>
    </row>
    <row r="326" spans="2:34" ht="16.5" outlineLevel="1" x14ac:dyDescent="0.25">
      <c r="B326" s="175" t="s">
        <v>2783</v>
      </c>
      <c r="C326" s="176">
        <v>8.7899999999999991</v>
      </c>
      <c r="D326" s="176">
        <v>11.86</v>
      </c>
      <c r="E326" s="194">
        <v>3</v>
      </c>
      <c r="F326" s="194">
        <v>0</v>
      </c>
      <c r="G326" s="194">
        <f t="shared" si="246"/>
        <v>3</v>
      </c>
      <c r="H326" s="176"/>
      <c r="I326" s="178" t="str">
        <f t="shared" si="227"/>
        <v>X</v>
      </c>
      <c r="J326" s="176">
        <f t="shared" si="228"/>
        <v>35.58</v>
      </c>
      <c r="K326" s="178" t="str">
        <f t="shared" si="229"/>
        <v xml:space="preserve"> </v>
      </c>
      <c r="L326" s="176">
        <f t="shared" si="230"/>
        <v>0</v>
      </c>
      <c r="M326" s="178" t="str">
        <f t="shared" si="231"/>
        <v>X</v>
      </c>
      <c r="N326" s="177">
        <f t="shared" si="232"/>
        <v>35.58</v>
      </c>
      <c r="O326" s="178" t="str">
        <f t="shared" si="233"/>
        <v xml:space="preserve"> </v>
      </c>
      <c r="P326" s="176">
        <v>1</v>
      </c>
      <c r="Q326" s="178" t="s">
        <v>0</v>
      </c>
      <c r="R326" s="176"/>
      <c r="S326" s="178" t="s">
        <v>2579</v>
      </c>
      <c r="T326" s="178" t="str">
        <f t="shared" si="235"/>
        <v xml:space="preserve"> </v>
      </c>
      <c r="U326" s="176">
        <f t="shared" si="247"/>
        <v>0</v>
      </c>
      <c r="V326" s="178" t="str">
        <f t="shared" si="236"/>
        <v>X</v>
      </c>
      <c r="W326" s="176">
        <f t="shared" si="248"/>
        <v>35.58</v>
      </c>
      <c r="X326" s="178" t="str">
        <f t="shared" si="237"/>
        <v xml:space="preserve"> </v>
      </c>
      <c r="Y326" s="176">
        <f t="shared" si="249"/>
        <v>0</v>
      </c>
      <c r="Z326" s="178" t="s">
        <v>2581</v>
      </c>
      <c r="AA326" s="178" t="str">
        <f t="shared" si="238"/>
        <v>X</v>
      </c>
      <c r="AB326" s="176">
        <f t="shared" si="239"/>
        <v>8.7899999999999991</v>
      </c>
      <c r="AC326" s="178" t="str">
        <f t="shared" si="240"/>
        <v xml:space="preserve"> </v>
      </c>
      <c r="AD326" s="176">
        <f t="shared" si="241"/>
        <v>0</v>
      </c>
      <c r="AE326" s="178" t="str">
        <f t="shared" si="242"/>
        <v xml:space="preserve"> </v>
      </c>
      <c r="AF326" s="176">
        <f t="shared" si="243"/>
        <v>0</v>
      </c>
      <c r="AG326" s="178" t="str">
        <f t="shared" si="244"/>
        <v>X</v>
      </c>
      <c r="AH326" s="176">
        <f t="shared" si="245"/>
        <v>11.86</v>
      </c>
    </row>
    <row r="327" spans="2:34" ht="16.5" outlineLevel="1" x14ac:dyDescent="0.25">
      <c r="B327" s="175" t="s">
        <v>2591</v>
      </c>
      <c r="C327" s="176">
        <v>4.47</v>
      </c>
      <c r="D327" s="176">
        <v>8.9600000000000009</v>
      </c>
      <c r="E327" s="194">
        <v>3</v>
      </c>
      <c r="F327" s="194">
        <v>2.1</v>
      </c>
      <c r="G327" s="194">
        <f t="shared" si="246"/>
        <v>0.89999999999999991</v>
      </c>
      <c r="H327" s="176"/>
      <c r="I327" s="178" t="str">
        <f t="shared" si="227"/>
        <v>X</v>
      </c>
      <c r="J327" s="176">
        <f t="shared" si="228"/>
        <v>26.880000000000003</v>
      </c>
      <c r="K327" s="178" t="str">
        <f t="shared" si="229"/>
        <v>X</v>
      </c>
      <c r="L327" s="176">
        <f t="shared" si="230"/>
        <v>18.816000000000003</v>
      </c>
      <c r="M327" s="178" t="str">
        <f t="shared" si="231"/>
        <v>X</v>
      </c>
      <c r="N327" s="177">
        <f t="shared" si="232"/>
        <v>8.0640000000000001</v>
      </c>
      <c r="O327" s="178" t="str">
        <f t="shared" si="233"/>
        <v>X</v>
      </c>
      <c r="P327" s="176">
        <f t="shared" si="234"/>
        <v>18.816000000000003</v>
      </c>
      <c r="Q327" s="178" t="s">
        <v>0</v>
      </c>
      <c r="R327" s="176"/>
      <c r="S327" s="178" t="s">
        <v>2578</v>
      </c>
      <c r="T327" s="178" t="str">
        <f t="shared" si="235"/>
        <v>X</v>
      </c>
      <c r="U327" s="176">
        <f t="shared" si="247"/>
        <v>8.0640000000000001</v>
      </c>
      <c r="V327" s="178" t="str">
        <f t="shared" si="236"/>
        <v xml:space="preserve"> </v>
      </c>
      <c r="W327" s="176">
        <f t="shared" si="248"/>
        <v>0</v>
      </c>
      <c r="X327" s="178" t="str">
        <f t="shared" si="237"/>
        <v xml:space="preserve"> </v>
      </c>
      <c r="Y327" s="176">
        <f t="shared" si="249"/>
        <v>0</v>
      </c>
      <c r="Z327" s="178" t="s">
        <v>2581</v>
      </c>
      <c r="AA327" s="178" t="str">
        <f t="shared" si="238"/>
        <v>X</v>
      </c>
      <c r="AB327" s="176">
        <f t="shared" si="239"/>
        <v>4.47</v>
      </c>
      <c r="AC327" s="178" t="str">
        <f t="shared" si="240"/>
        <v xml:space="preserve"> </v>
      </c>
      <c r="AD327" s="176">
        <f t="shared" si="241"/>
        <v>0</v>
      </c>
      <c r="AE327" s="178" t="str">
        <f t="shared" si="242"/>
        <v xml:space="preserve"> </v>
      </c>
      <c r="AF327" s="176">
        <f t="shared" si="243"/>
        <v>0</v>
      </c>
      <c r="AG327" s="178" t="str">
        <f t="shared" si="244"/>
        <v/>
      </c>
      <c r="AH327" s="176">
        <f t="shared" si="245"/>
        <v>0</v>
      </c>
    </row>
    <row r="328" spans="2:34" ht="16.5" outlineLevel="1" x14ac:dyDescent="0.25">
      <c r="B328" s="175" t="s">
        <v>2739</v>
      </c>
      <c r="C328" s="176">
        <v>7.93</v>
      </c>
      <c r="D328" s="176">
        <v>12.1</v>
      </c>
      <c r="E328" s="194">
        <v>3</v>
      </c>
      <c r="F328" s="194">
        <v>2.1</v>
      </c>
      <c r="G328" s="194">
        <f t="shared" si="246"/>
        <v>0.89999999999999991</v>
      </c>
      <c r="H328" s="176"/>
      <c r="I328" s="178" t="str">
        <f t="shared" si="227"/>
        <v>X</v>
      </c>
      <c r="J328" s="176">
        <f t="shared" si="228"/>
        <v>36.299999999999997</v>
      </c>
      <c r="K328" s="178" t="str">
        <f t="shared" si="229"/>
        <v>X</v>
      </c>
      <c r="L328" s="176">
        <f t="shared" si="230"/>
        <v>25.41</v>
      </c>
      <c r="M328" s="178" t="str">
        <f t="shared" si="231"/>
        <v>X</v>
      </c>
      <c r="N328" s="177">
        <f t="shared" si="232"/>
        <v>10.889999999999997</v>
      </c>
      <c r="O328" s="178" t="str">
        <f t="shared" si="233"/>
        <v>X</v>
      </c>
      <c r="P328" s="176">
        <f t="shared" si="234"/>
        <v>25.41</v>
      </c>
      <c r="Q328" s="178" t="s">
        <v>0</v>
      </c>
      <c r="R328" s="176"/>
      <c r="S328" s="178" t="s">
        <v>2578</v>
      </c>
      <c r="T328" s="178" t="str">
        <f t="shared" si="235"/>
        <v>X</v>
      </c>
      <c r="U328" s="176">
        <f t="shared" si="247"/>
        <v>10.889999999999997</v>
      </c>
      <c r="V328" s="178" t="str">
        <f t="shared" si="236"/>
        <v xml:space="preserve"> </v>
      </c>
      <c r="W328" s="176">
        <f t="shared" si="248"/>
        <v>0</v>
      </c>
      <c r="X328" s="178" t="str">
        <f t="shared" si="237"/>
        <v xml:space="preserve"> </v>
      </c>
      <c r="Y328" s="176">
        <f t="shared" si="249"/>
        <v>0</v>
      </c>
      <c r="Z328" s="178" t="s">
        <v>2581</v>
      </c>
      <c r="AA328" s="178" t="str">
        <f t="shared" si="238"/>
        <v>X</v>
      </c>
      <c r="AB328" s="176">
        <f t="shared" si="239"/>
        <v>7.93</v>
      </c>
      <c r="AC328" s="178" t="str">
        <f t="shared" si="240"/>
        <v xml:space="preserve"> </v>
      </c>
      <c r="AD328" s="176">
        <f t="shared" si="241"/>
        <v>0</v>
      </c>
      <c r="AE328" s="178" t="str">
        <f t="shared" si="242"/>
        <v xml:space="preserve"> </v>
      </c>
      <c r="AF328" s="176">
        <f t="shared" si="243"/>
        <v>0</v>
      </c>
      <c r="AG328" s="178" t="str">
        <f t="shared" si="244"/>
        <v/>
      </c>
      <c r="AH328" s="176">
        <f t="shared" si="245"/>
        <v>0</v>
      </c>
    </row>
    <row r="329" spans="2:34" ht="16.5" outlineLevel="1" x14ac:dyDescent="0.25">
      <c r="B329" s="175" t="s">
        <v>2611</v>
      </c>
      <c r="C329" s="176">
        <v>2.76</v>
      </c>
      <c r="D329" s="176">
        <v>7</v>
      </c>
      <c r="E329" s="194">
        <v>3</v>
      </c>
      <c r="F329" s="194">
        <v>0</v>
      </c>
      <c r="G329" s="194">
        <f t="shared" si="246"/>
        <v>3</v>
      </c>
      <c r="H329" s="176"/>
      <c r="I329" s="178" t="str">
        <f t="shared" si="227"/>
        <v>X</v>
      </c>
      <c r="J329" s="176">
        <f t="shared" si="228"/>
        <v>21</v>
      </c>
      <c r="K329" s="178" t="str">
        <f t="shared" si="229"/>
        <v xml:space="preserve"> </v>
      </c>
      <c r="L329" s="176">
        <f t="shared" si="230"/>
        <v>0</v>
      </c>
      <c r="M329" s="178" t="str">
        <f t="shared" si="231"/>
        <v>X</v>
      </c>
      <c r="N329" s="177">
        <f t="shared" si="232"/>
        <v>21</v>
      </c>
      <c r="O329" s="178" t="str">
        <f t="shared" si="233"/>
        <v xml:space="preserve"> </v>
      </c>
      <c r="P329" s="176">
        <f t="shared" si="234"/>
        <v>0</v>
      </c>
      <c r="Q329" s="178" t="s">
        <v>0</v>
      </c>
      <c r="R329" s="176"/>
      <c r="S329" s="178" t="s">
        <v>2578</v>
      </c>
      <c r="T329" s="178" t="str">
        <f t="shared" si="235"/>
        <v>X</v>
      </c>
      <c r="U329" s="176">
        <f t="shared" si="247"/>
        <v>21</v>
      </c>
      <c r="V329" s="178" t="str">
        <f t="shared" si="236"/>
        <v xml:space="preserve"> </v>
      </c>
      <c r="W329" s="176">
        <f t="shared" si="248"/>
        <v>0</v>
      </c>
      <c r="X329" s="178" t="str">
        <f t="shared" si="237"/>
        <v xml:space="preserve"> </v>
      </c>
      <c r="Y329" s="176">
        <f t="shared" si="249"/>
        <v>0</v>
      </c>
      <c r="Z329" s="178" t="s">
        <v>2581</v>
      </c>
      <c r="AA329" s="178" t="str">
        <f t="shared" si="238"/>
        <v>X</v>
      </c>
      <c r="AB329" s="176">
        <f t="shared" si="239"/>
        <v>2.76</v>
      </c>
      <c r="AC329" s="178" t="str">
        <f t="shared" si="240"/>
        <v xml:space="preserve"> </v>
      </c>
      <c r="AD329" s="176">
        <f t="shared" si="241"/>
        <v>0</v>
      </c>
      <c r="AE329" s="178" t="str">
        <f t="shared" si="242"/>
        <v xml:space="preserve"> </v>
      </c>
      <c r="AF329" s="176">
        <f t="shared" si="243"/>
        <v>0</v>
      </c>
      <c r="AG329" s="178" t="str">
        <f t="shared" si="244"/>
        <v>X</v>
      </c>
      <c r="AH329" s="176">
        <f t="shared" si="245"/>
        <v>7</v>
      </c>
    </row>
    <row r="330" spans="2:34" ht="16.5" outlineLevel="1" x14ac:dyDescent="0.25">
      <c r="B330" s="175" t="s">
        <v>2738</v>
      </c>
      <c r="C330" s="176">
        <v>8.2799999999999994</v>
      </c>
      <c r="D330" s="176">
        <v>11.8</v>
      </c>
      <c r="E330" s="194">
        <v>3</v>
      </c>
      <c r="F330" s="194">
        <v>2.1</v>
      </c>
      <c r="G330" s="194">
        <f t="shared" si="246"/>
        <v>0.89999999999999991</v>
      </c>
      <c r="H330" s="176"/>
      <c r="I330" s="178" t="str">
        <f t="shared" si="227"/>
        <v>X</v>
      </c>
      <c r="J330" s="176">
        <f t="shared" si="228"/>
        <v>35.400000000000006</v>
      </c>
      <c r="K330" s="178" t="str">
        <f t="shared" si="229"/>
        <v>X</v>
      </c>
      <c r="L330" s="176">
        <f t="shared" si="230"/>
        <v>24.78</v>
      </c>
      <c r="M330" s="178" t="str">
        <f t="shared" si="231"/>
        <v>X</v>
      </c>
      <c r="N330" s="177">
        <f t="shared" si="232"/>
        <v>10.620000000000005</v>
      </c>
      <c r="O330" s="178" t="str">
        <f t="shared" si="233"/>
        <v>X</v>
      </c>
      <c r="P330" s="176">
        <f t="shared" si="234"/>
        <v>24.78</v>
      </c>
      <c r="Q330" s="178" t="s">
        <v>0</v>
      </c>
      <c r="R330" s="176"/>
      <c r="S330" s="178" t="s">
        <v>2578</v>
      </c>
      <c r="T330" s="178" t="str">
        <f t="shared" si="235"/>
        <v>X</v>
      </c>
      <c r="U330" s="176">
        <f t="shared" si="247"/>
        <v>10.620000000000005</v>
      </c>
      <c r="V330" s="178" t="str">
        <f t="shared" si="236"/>
        <v xml:space="preserve"> </v>
      </c>
      <c r="W330" s="176">
        <f t="shared" si="248"/>
        <v>0</v>
      </c>
      <c r="X330" s="178" t="str">
        <f t="shared" si="237"/>
        <v xml:space="preserve"> </v>
      </c>
      <c r="Y330" s="176">
        <f t="shared" si="249"/>
        <v>0</v>
      </c>
      <c r="Z330" s="178" t="s">
        <v>2581</v>
      </c>
      <c r="AA330" s="178" t="str">
        <f t="shared" si="238"/>
        <v>X</v>
      </c>
      <c r="AB330" s="176">
        <f t="shared" si="239"/>
        <v>8.2799999999999994</v>
      </c>
      <c r="AC330" s="178" t="str">
        <f t="shared" si="240"/>
        <v xml:space="preserve"> </v>
      </c>
      <c r="AD330" s="176">
        <f t="shared" si="241"/>
        <v>0</v>
      </c>
      <c r="AE330" s="178" t="str">
        <f t="shared" si="242"/>
        <v xml:space="preserve"> </v>
      </c>
      <c r="AF330" s="176">
        <f t="shared" si="243"/>
        <v>0</v>
      </c>
      <c r="AG330" s="178" t="str">
        <f t="shared" si="244"/>
        <v/>
      </c>
      <c r="AH330" s="176">
        <f t="shared" si="245"/>
        <v>0</v>
      </c>
    </row>
    <row r="331" spans="2:34" ht="16.5" outlineLevel="1" x14ac:dyDescent="0.25">
      <c r="B331" s="175" t="s">
        <v>2611</v>
      </c>
      <c r="C331" s="176">
        <v>5.5</v>
      </c>
      <c r="D331" s="176">
        <v>12.2</v>
      </c>
      <c r="E331" s="194">
        <v>3</v>
      </c>
      <c r="F331" s="194">
        <v>0</v>
      </c>
      <c r="G331" s="194">
        <f t="shared" si="246"/>
        <v>3</v>
      </c>
      <c r="H331" s="176">
        <v>1.1000000000000001</v>
      </c>
      <c r="I331" s="178" t="str">
        <f t="shared" si="227"/>
        <v>X</v>
      </c>
      <c r="J331" s="176">
        <f t="shared" si="228"/>
        <v>33.299999999999997</v>
      </c>
      <c r="K331" s="178" t="str">
        <f t="shared" si="229"/>
        <v xml:space="preserve"> </v>
      </c>
      <c r="L331" s="176">
        <f t="shared" si="230"/>
        <v>0</v>
      </c>
      <c r="M331" s="178" t="str">
        <f t="shared" si="231"/>
        <v>X</v>
      </c>
      <c r="N331" s="177">
        <f t="shared" si="232"/>
        <v>33.299999999999997</v>
      </c>
      <c r="O331" s="178" t="str">
        <f t="shared" si="233"/>
        <v xml:space="preserve"> </v>
      </c>
      <c r="P331" s="176">
        <f t="shared" si="234"/>
        <v>0</v>
      </c>
      <c r="Q331" s="178" t="s">
        <v>0</v>
      </c>
      <c r="R331" s="176"/>
      <c r="S331" s="178" t="s">
        <v>2578</v>
      </c>
      <c r="T331" s="178" t="str">
        <f t="shared" si="235"/>
        <v>X</v>
      </c>
      <c r="U331" s="176">
        <f t="shared" si="247"/>
        <v>33.299999999999997</v>
      </c>
      <c r="V331" s="178" t="str">
        <f t="shared" si="236"/>
        <v xml:space="preserve"> </v>
      </c>
      <c r="W331" s="176">
        <f t="shared" si="248"/>
        <v>0</v>
      </c>
      <c r="X331" s="178" t="str">
        <f t="shared" si="237"/>
        <v xml:space="preserve"> </v>
      </c>
      <c r="Y331" s="176">
        <f t="shared" si="249"/>
        <v>0</v>
      </c>
      <c r="Z331" s="178" t="s">
        <v>2581</v>
      </c>
      <c r="AA331" s="178" t="str">
        <f t="shared" si="238"/>
        <v>X</v>
      </c>
      <c r="AB331" s="176">
        <f t="shared" si="239"/>
        <v>5.5</v>
      </c>
      <c r="AC331" s="178" t="str">
        <f t="shared" si="240"/>
        <v xml:space="preserve"> </v>
      </c>
      <c r="AD331" s="176">
        <f t="shared" si="241"/>
        <v>0</v>
      </c>
      <c r="AE331" s="178" t="str">
        <f t="shared" si="242"/>
        <v xml:space="preserve"> </v>
      </c>
      <c r="AF331" s="176">
        <f t="shared" si="243"/>
        <v>0</v>
      </c>
      <c r="AG331" s="178" t="str">
        <f t="shared" si="244"/>
        <v>X</v>
      </c>
      <c r="AH331" s="176">
        <f t="shared" si="245"/>
        <v>11.1</v>
      </c>
    </row>
    <row r="332" spans="2:34" ht="16.5" outlineLevel="1" x14ac:dyDescent="0.25">
      <c r="B332" s="175" t="s">
        <v>2607</v>
      </c>
      <c r="C332" s="176">
        <v>8.39</v>
      </c>
      <c r="D332" s="176">
        <v>13</v>
      </c>
      <c r="E332" s="194">
        <v>3</v>
      </c>
      <c r="F332" s="194">
        <v>0</v>
      </c>
      <c r="G332" s="194">
        <f t="shared" si="246"/>
        <v>3</v>
      </c>
      <c r="H332" s="176"/>
      <c r="I332" s="178" t="str">
        <f t="shared" si="227"/>
        <v>X</v>
      </c>
      <c r="J332" s="176">
        <f t="shared" si="228"/>
        <v>39</v>
      </c>
      <c r="K332" s="178" t="str">
        <f t="shared" si="229"/>
        <v xml:space="preserve"> </v>
      </c>
      <c r="L332" s="176">
        <f t="shared" si="230"/>
        <v>0</v>
      </c>
      <c r="M332" s="178" t="str">
        <f t="shared" si="231"/>
        <v>X</v>
      </c>
      <c r="N332" s="177">
        <f t="shared" si="232"/>
        <v>39</v>
      </c>
      <c r="O332" s="178" t="str">
        <f t="shared" si="233"/>
        <v xml:space="preserve"> </v>
      </c>
      <c r="P332" s="176">
        <f t="shared" si="234"/>
        <v>0</v>
      </c>
      <c r="Q332" s="178" t="s">
        <v>0</v>
      </c>
      <c r="R332" s="176"/>
      <c r="S332" s="178" t="s">
        <v>2578</v>
      </c>
      <c r="T332" s="178" t="str">
        <f t="shared" si="235"/>
        <v>X</v>
      </c>
      <c r="U332" s="176">
        <f t="shared" si="247"/>
        <v>39</v>
      </c>
      <c r="V332" s="178" t="str">
        <f t="shared" si="236"/>
        <v xml:space="preserve"> </v>
      </c>
      <c r="W332" s="176">
        <f t="shared" si="248"/>
        <v>0</v>
      </c>
      <c r="X332" s="178" t="str">
        <f t="shared" si="237"/>
        <v xml:space="preserve"> </v>
      </c>
      <c r="Y332" s="176">
        <f t="shared" si="249"/>
        <v>0</v>
      </c>
      <c r="Z332" s="178" t="s">
        <v>2581</v>
      </c>
      <c r="AA332" s="178" t="str">
        <f t="shared" si="238"/>
        <v>X</v>
      </c>
      <c r="AB332" s="176">
        <f t="shared" si="239"/>
        <v>8.39</v>
      </c>
      <c r="AC332" s="178" t="str">
        <f t="shared" si="240"/>
        <v xml:space="preserve"> </v>
      </c>
      <c r="AD332" s="176">
        <f t="shared" si="241"/>
        <v>0</v>
      </c>
      <c r="AE332" s="178" t="str">
        <f t="shared" si="242"/>
        <v xml:space="preserve"> </v>
      </c>
      <c r="AF332" s="176">
        <f t="shared" si="243"/>
        <v>0</v>
      </c>
      <c r="AG332" s="178" t="str">
        <f t="shared" si="244"/>
        <v>X</v>
      </c>
      <c r="AH332" s="176">
        <f t="shared" si="245"/>
        <v>13</v>
      </c>
    </row>
    <row r="333" spans="2:34" ht="16.5" outlineLevel="1" x14ac:dyDescent="0.25">
      <c r="B333" s="175" t="s">
        <v>2595</v>
      </c>
      <c r="C333" s="176">
        <v>8.56</v>
      </c>
      <c r="D333" s="176">
        <v>12.04</v>
      </c>
      <c r="E333" s="194">
        <v>3</v>
      </c>
      <c r="F333" s="194">
        <v>2.1</v>
      </c>
      <c r="G333" s="194">
        <f t="shared" si="246"/>
        <v>0.89999999999999991</v>
      </c>
      <c r="H333" s="176"/>
      <c r="I333" s="178" t="str">
        <f t="shared" si="227"/>
        <v>X</v>
      </c>
      <c r="J333" s="176">
        <f t="shared" ref="J333:J341" si="250">IF(I333="X",($D333-H333)*E333,0)</f>
        <v>36.119999999999997</v>
      </c>
      <c r="K333" s="178" t="str">
        <f t="shared" si="229"/>
        <v>X</v>
      </c>
      <c r="L333" s="176">
        <f t="shared" ref="L333:L341" si="251">IF(K333="X",($D333-H333)*F333,0)</f>
        <v>25.283999999999999</v>
      </c>
      <c r="M333" s="178" t="str">
        <f t="shared" si="231"/>
        <v>X</v>
      </c>
      <c r="N333" s="177">
        <f t="shared" ref="N333:N341" si="252">IF(M333="X",J333-L333,0)</f>
        <v>10.835999999999999</v>
      </c>
      <c r="O333" s="178" t="str">
        <f t="shared" si="233"/>
        <v>X</v>
      </c>
      <c r="P333" s="176">
        <f t="shared" ref="P333:P341" si="253">IF(L333&gt;0,L333,0)</f>
        <v>25.283999999999999</v>
      </c>
      <c r="Q333" s="178" t="s">
        <v>0</v>
      </c>
      <c r="R333" s="176"/>
      <c r="S333" s="178" t="s">
        <v>2578</v>
      </c>
      <c r="T333" s="178" t="str">
        <f t="shared" si="235"/>
        <v>X</v>
      </c>
      <c r="U333" s="176">
        <f t="shared" si="247"/>
        <v>10.835999999999999</v>
      </c>
      <c r="V333" s="178" t="str">
        <f t="shared" si="236"/>
        <v xml:space="preserve"> </v>
      </c>
      <c r="W333" s="176">
        <f t="shared" si="248"/>
        <v>0</v>
      </c>
      <c r="X333" s="178" t="str">
        <f t="shared" si="237"/>
        <v xml:space="preserve"> </v>
      </c>
      <c r="Y333" s="176">
        <f t="shared" si="249"/>
        <v>0</v>
      </c>
      <c r="Z333" s="178" t="s">
        <v>2581</v>
      </c>
      <c r="AA333" s="178" t="str">
        <f t="shared" si="238"/>
        <v>X</v>
      </c>
      <c r="AB333" s="176">
        <f t="shared" si="239"/>
        <v>8.56</v>
      </c>
      <c r="AC333" s="178" t="str">
        <f t="shared" si="240"/>
        <v xml:space="preserve"> </v>
      </c>
      <c r="AD333" s="176">
        <f t="shared" si="241"/>
        <v>0</v>
      </c>
      <c r="AE333" s="178" t="str">
        <f t="shared" si="242"/>
        <v xml:space="preserve"> </v>
      </c>
      <c r="AF333" s="176">
        <f t="shared" si="243"/>
        <v>0</v>
      </c>
      <c r="AG333" s="178" t="str">
        <f t="shared" si="244"/>
        <v/>
      </c>
      <c r="AH333" s="176">
        <f t="shared" si="245"/>
        <v>0</v>
      </c>
    </row>
    <row r="334" spans="2:34" ht="16.5" outlineLevel="1" x14ac:dyDescent="0.25">
      <c r="B334" s="175" t="s">
        <v>2784</v>
      </c>
      <c r="C334" s="176">
        <v>7.89</v>
      </c>
      <c r="D334" s="176">
        <v>11.46</v>
      </c>
      <c r="E334" s="194">
        <v>3</v>
      </c>
      <c r="F334" s="194">
        <v>0</v>
      </c>
      <c r="G334" s="194">
        <f t="shared" si="246"/>
        <v>3</v>
      </c>
      <c r="H334" s="176"/>
      <c r="I334" s="178" t="str">
        <f t="shared" si="227"/>
        <v>X</v>
      </c>
      <c r="J334" s="176">
        <f t="shared" si="250"/>
        <v>34.380000000000003</v>
      </c>
      <c r="K334" s="178" t="str">
        <f t="shared" si="229"/>
        <v xml:space="preserve"> </v>
      </c>
      <c r="L334" s="176">
        <f t="shared" si="251"/>
        <v>0</v>
      </c>
      <c r="M334" s="178" t="str">
        <f t="shared" si="231"/>
        <v>X</v>
      </c>
      <c r="N334" s="177">
        <f t="shared" si="252"/>
        <v>34.380000000000003</v>
      </c>
      <c r="O334" s="178" t="str">
        <f t="shared" si="233"/>
        <v xml:space="preserve"> </v>
      </c>
      <c r="P334" s="176">
        <f t="shared" si="253"/>
        <v>0</v>
      </c>
      <c r="Q334" s="178" t="s">
        <v>0</v>
      </c>
      <c r="R334" s="176"/>
      <c r="S334" s="178" t="s">
        <v>2579</v>
      </c>
      <c r="T334" s="178" t="str">
        <f t="shared" si="235"/>
        <v xml:space="preserve"> </v>
      </c>
      <c r="U334" s="176">
        <f t="shared" si="247"/>
        <v>0</v>
      </c>
      <c r="V334" s="178" t="str">
        <f t="shared" si="236"/>
        <v>X</v>
      </c>
      <c r="W334" s="176">
        <f t="shared" si="248"/>
        <v>34.380000000000003</v>
      </c>
      <c r="X334" s="178" t="str">
        <f t="shared" si="237"/>
        <v xml:space="preserve"> </v>
      </c>
      <c r="Y334" s="176">
        <f t="shared" si="249"/>
        <v>0</v>
      </c>
      <c r="Z334" s="178" t="s">
        <v>2581</v>
      </c>
      <c r="AA334" s="178" t="str">
        <f t="shared" si="238"/>
        <v>X</v>
      </c>
      <c r="AB334" s="176">
        <f t="shared" si="239"/>
        <v>7.89</v>
      </c>
      <c r="AC334" s="178" t="str">
        <f t="shared" si="240"/>
        <v xml:space="preserve"> </v>
      </c>
      <c r="AD334" s="176">
        <f t="shared" si="241"/>
        <v>0</v>
      </c>
      <c r="AE334" s="178" t="str">
        <f t="shared" si="242"/>
        <v xml:space="preserve"> </v>
      </c>
      <c r="AF334" s="176">
        <f t="shared" si="243"/>
        <v>0</v>
      </c>
      <c r="AG334" s="178" t="str">
        <f t="shared" si="244"/>
        <v>X</v>
      </c>
      <c r="AH334" s="176">
        <f t="shared" si="245"/>
        <v>11.46</v>
      </c>
    </row>
    <row r="335" spans="2:34" ht="16.5" outlineLevel="1" x14ac:dyDescent="0.25">
      <c r="B335" s="175" t="s">
        <v>2611</v>
      </c>
      <c r="C335" s="176">
        <v>5.51</v>
      </c>
      <c r="D335" s="176">
        <v>10.45</v>
      </c>
      <c r="E335" s="194">
        <v>3</v>
      </c>
      <c r="F335" s="194">
        <v>0</v>
      </c>
      <c r="G335" s="194">
        <f t="shared" si="246"/>
        <v>3</v>
      </c>
      <c r="H335" s="176"/>
      <c r="I335" s="178" t="str">
        <f t="shared" si="227"/>
        <v>X</v>
      </c>
      <c r="J335" s="176">
        <f t="shared" si="250"/>
        <v>31.349999999999998</v>
      </c>
      <c r="K335" s="178" t="str">
        <f t="shared" si="229"/>
        <v xml:space="preserve"> </v>
      </c>
      <c r="L335" s="176">
        <f t="shared" si="251"/>
        <v>0</v>
      </c>
      <c r="M335" s="178" t="str">
        <f t="shared" si="231"/>
        <v>X</v>
      </c>
      <c r="N335" s="177">
        <f t="shared" si="252"/>
        <v>31.349999999999998</v>
      </c>
      <c r="O335" s="178" t="str">
        <f t="shared" si="233"/>
        <v xml:space="preserve"> </v>
      </c>
      <c r="P335" s="176">
        <f t="shared" si="253"/>
        <v>0</v>
      </c>
      <c r="Q335" s="178" t="s">
        <v>0</v>
      </c>
      <c r="R335" s="176"/>
      <c r="S335" s="178" t="s">
        <v>2578</v>
      </c>
      <c r="T335" s="178" t="str">
        <f t="shared" si="235"/>
        <v>X</v>
      </c>
      <c r="U335" s="176">
        <f t="shared" si="247"/>
        <v>31.349999999999998</v>
      </c>
      <c r="V335" s="178" t="str">
        <f t="shared" si="236"/>
        <v xml:space="preserve"> </v>
      </c>
      <c r="W335" s="176">
        <f t="shared" si="248"/>
        <v>0</v>
      </c>
      <c r="X335" s="178" t="str">
        <f t="shared" si="237"/>
        <v xml:space="preserve"> </v>
      </c>
      <c r="Y335" s="176">
        <f t="shared" si="249"/>
        <v>0</v>
      </c>
      <c r="Z335" s="178" t="s">
        <v>2581</v>
      </c>
      <c r="AA335" s="178" t="str">
        <f t="shared" si="238"/>
        <v>X</v>
      </c>
      <c r="AB335" s="176">
        <f t="shared" si="239"/>
        <v>5.51</v>
      </c>
      <c r="AC335" s="178" t="str">
        <f t="shared" si="240"/>
        <v xml:space="preserve"> </v>
      </c>
      <c r="AD335" s="176">
        <f t="shared" si="241"/>
        <v>0</v>
      </c>
      <c r="AE335" s="178" t="str">
        <f t="shared" si="242"/>
        <v xml:space="preserve"> </v>
      </c>
      <c r="AF335" s="176">
        <f t="shared" si="243"/>
        <v>0</v>
      </c>
      <c r="AG335" s="178" t="str">
        <f t="shared" si="244"/>
        <v>X</v>
      </c>
      <c r="AH335" s="176">
        <f t="shared" si="245"/>
        <v>10.45</v>
      </c>
    </row>
    <row r="336" spans="2:34" ht="16.5" outlineLevel="1" x14ac:dyDescent="0.25">
      <c r="B336" s="175" t="s">
        <v>2591</v>
      </c>
      <c r="C336" s="176">
        <v>2.62</v>
      </c>
      <c r="D336" s="176">
        <v>6.53</v>
      </c>
      <c r="E336" s="194">
        <v>3</v>
      </c>
      <c r="F336" s="194">
        <v>2.1</v>
      </c>
      <c r="G336" s="194">
        <f t="shared" si="246"/>
        <v>0.89999999999999991</v>
      </c>
      <c r="H336" s="176"/>
      <c r="I336" s="178" t="str">
        <f t="shared" si="227"/>
        <v>X</v>
      </c>
      <c r="J336" s="176">
        <f t="shared" si="250"/>
        <v>19.59</v>
      </c>
      <c r="K336" s="178" t="str">
        <f t="shared" si="229"/>
        <v>X</v>
      </c>
      <c r="L336" s="176">
        <f t="shared" si="251"/>
        <v>13.713000000000001</v>
      </c>
      <c r="M336" s="178" t="str">
        <f t="shared" si="231"/>
        <v>X</v>
      </c>
      <c r="N336" s="177">
        <f t="shared" si="252"/>
        <v>5.8769999999999989</v>
      </c>
      <c r="O336" s="178" t="str">
        <f t="shared" si="233"/>
        <v>X</v>
      </c>
      <c r="P336" s="176">
        <f t="shared" si="253"/>
        <v>13.713000000000001</v>
      </c>
      <c r="Q336" s="178" t="s">
        <v>0</v>
      </c>
      <c r="R336" s="176"/>
      <c r="S336" s="178" t="s">
        <v>2578</v>
      </c>
      <c r="T336" s="178" t="str">
        <f t="shared" si="235"/>
        <v>X</v>
      </c>
      <c r="U336" s="176">
        <f t="shared" si="247"/>
        <v>5.8769999999999989</v>
      </c>
      <c r="V336" s="178" t="str">
        <f t="shared" si="236"/>
        <v xml:space="preserve"> </v>
      </c>
      <c r="W336" s="176">
        <f t="shared" si="248"/>
        <v>0</v>
      </c>
      <c r="X336" s="178" t="str">
        <f t="shared" si="237"/>
        <v xml:space="preserve"> </v>
      </c>
      <c r="Y336" s="176">
        <f t="shared" si="249"/>
        <v>0</v>
      </c>
      <c r="Z336" s="178" t="s">
        <v>2581</v>
      </c>
      <c r="AA336" s="178" t="str">
        <f t="shared" si="238"/>
        <v>X</v>
      </c>
      <c r="AB336" s="176">
        <f t="shared" si="239"/>
        <v>2.62</v>
      </c>
      <c r="AC336" s="178" t="str">
        <f t="shared" si="240"/>
        <v xml:space="preserve"> </v>
      </c>
      <c r="AD336" s="176">
        <f t="shared" si="241"/>
        <v>0</v>
      </c>
      <c r="AE336" s="178" t="str">
        <f t="shared" si="242"/>
        <v xml:space="preserve"> </v>
      </c>
      <c r="AF336" s="176">
        <f t="shared" si="243"/>
        <v>0</v>
      </c>
      <c r="AG336" s="178" t="str">
        <f t="shared" si="244"/>
        <v/>
      </c>
      <c r="AH336" s="176">
        <f t="shared" si="245"/>
        <v>0</v>
      </c>
    </row>
    <row r="337" spans="2:34" ht="16.5" outlineLevel="1" x14ac:dyDescent="0.25">
      <c r="B337" s="175" t="s">
        <v>2785</v>
      </c>
      <c r="C337" s="176">
        <v>3.23</v>
      </c>
      <c r="D337" s="176">
        <v>7.19</v>
      </c>
      <c r="E337" s="194">
        <v>3</v>
      </c>
      <c r="F337" s="194">
        <v>0</v>
      </c>
      <c r="G337" s="194">
        <f t="shared" si="246"/>
        <v>3</v>
      </c>
      <c r="H337" s="176"/>
      <c r="I337" s="178" t="str">
        <f t="shared" si="227"/>
        <v>X</v>
      </c>
      <c r="J337" s="176">
        <f t="shared" si="250"/>
        <v>21.57</v>
      </c>
      <c r="K337" s="178" t="str">
        <f t="shared" si="229"/>
        <v xml:space="preserve"> </v>
      </c>
      <c r="L337" s="176">
        <f t="shared" si="251"/>
        <v>0</v>
      </c>
      <c r="M337" s="178" t="str">
        <f t="shared" si="231"/>
        <v>X</v>
      </c>
      <c r="N337" s="177">
        <f t="shared" si="252"/>
        <v>21.57</v>
      </c>
      <c r="O337" s="178" t="str">
        <f t="shared" si="233"/>
        <v xml:space="preserve"> </v>
      </c>
      <c r="P337" s="176">
        <f t="shared" si="253"/>
        <v>0</v>
      </c>
      <c r="Q337" s="178" t="s">
        <v>0</v>
      </c>
      <c r="R337" s="176"/>
      <c r="S337" s="178" t="s">
        <v>2579</v>
      </c>
      <c r="T337" s="178" t="str">
        <f t="shared" si="235"/>
        <v xml:space="preserve"> </v>
      </c>
      <c r="U337" s="176">
        <f t="shared" si="247"/>
        <v>0</v>
      </c>
      <c r="V337" s="178" t="str">
        <f t="shared" si="236"/>
        <v>X</v>
      </c>
      <c r="W337" s="176">
        <f t="shared" si="248"/>
        <v>21.57</v>
      </c>
      <c r="X337" s="178" t="str">
        <f t="shared" si="237"/>
        <v xml:space="preserve"> </v>
      </c>
      <c r="Y337" s="176">
        <f t="shared" si="249"/>
        <v>0</v>
      </c>
      <c r="Z337" s="178" t="s">
        <v>2581</v>
      </c>
      <c r="AA337" s="178" t="str">
        <f t="shared" si="238"/>
        <v>X</v>
      </c>
      <c r="AB337" s="176">
        <f t="shared" si="239"/>
        <v>3.23</v>
      </c>
      <c r="AC337" s="178" t="str">
        <f t="shared" si="240"/>
        <v xml:space="preserve"> </v>
      </c>
      <c r="AD337" s="176">
        <f t="shared" si="241"/>
        <v>0</v>
      </c>
      <c r="AE337" s="178" t="str">
        <f t="shared" si="242"/>
        <v xml:space="preserve"> </v>
      </c>
      <c r="AF337" s="176">
        <f t="shared" si="243"/>
        <v>0</v>
      </c>
      <c r="AG337" s="178" t="str">
        <f t="shared" si="244"/>
        <v>X</v>
      </c>
      <c r="AH337" s="176">
        <f t="shared" si="245"/>
        <v>7.19</v>
      </c>
    </row>
    <row r="338" spans="2:34" ht="16.5" outlineLevel="1" x14ac:dyDescent="0.25">
      <c r="B338" s="175" t="s">
        <v>2786</v>
      </c>
      <c r="C338" s="176">
        <f>29.81-0.2</f>
        <v>29.61</v>
      </c>
      <c r="D338" s="176">
        <v>24.51</v>
      </c>
      <c r="E338" s="194">
        <v>3</v>
      </c>
      <c r="F338" s="194">
        <v>0</v>
      </c>
      <c r="G338" s="194">
        <f t="shared" si="246"/>
        <v>3</v>
      </c>
      <c r="H338" s="176"/>
      <c r="I338" s="178" t="str">
        <f t="shared" si="227"/>
        <v>X</v>
      </c>
      <c r="J338" s="176">
        <f t="shared" si="250"/>
        <v>73.53</v>
      </c>
      <c r="K338" s="178" t="str">
        <f t="shared" si="229"/>
        <v xml:space="preserve"> </v>
      </c>
      <c r="L338" s="176">
        <f t="shared" si="251"/>
        <v>0</v>
      </c>
      <c r="M338" s="178" t="str">
        <f t="shared" si="231"/>
        <v>X</v>
      </c>
      <c r="N338" s="177">
        <f t="shared" si="252"/>
        <v>73.53</v>
      </c>
      <c r="O338" s="178" t="str">
        <f t="shared" si="233"/>
        <v xml:space="preserve"> </v>
      </c>
      <c r="P338" s="176">
        <f t="shared" si="253"/>
        <v>0</v>
      </c>
      <c r="Q338" s="178" t="s">
        <v>0</v>
      </c>
      <c r="R338" s="176"/>
      <c r="S338" s="178" t="s">
        <v>2579</v>
      </c>
      <c r="T338" s="178" t="str">
        <f t="shared" si="235"/>
        <v xml:space="preserve"> </v>
      </c>
      <c r="U338" s="176">
        <f t="shared" si="247"/>
        <v>0</v>
      </c>
      <c r="V338" s="178" t="str">
        <f t="shared" si="236"/>
        <v>X</v>
      </c>
      <c r="W338" s="176">
        <f t="shared" si="248"/>
        <v>73.53</v>
      </c>
      <c r="X338" s="178" t="str">
        <f t="shared" si="237"/>
        <v xml:space="preserve"> </v>
      </c>
      <c r="Y338" s="176">
        <f t="shared" si="249"/>
        <v>0</v>
      </c>
      <c r="Z338" s="178" t="s">
        <v>2581</v>
      </c>
      <c r="AA338" s="178" t="str">
        <f t="shared" si="238"/>
        <v>X</v>
      </c>
      <c r="AB338" s="176">
        <f t="shared" si="239"/>
        <v>29.61</v>
      </c>
      <c r="AC338" s="178" t="str">
        <f t="shared" si="240"/>
        <v xml:space="preserve"> </v>
      </c>
      <c r="AD338" s="176">
        <f t="shared" si="241"/>
        <v>0</v>
      </c>
      <c r="AE338" s="178" t="str">
        <f t="shared" si="242"/>
        <v xml:space="preserve"> </v>
      </c>
      <c r="AF338" s="176">
        <f t="shared" si="243"/>
        <v>0</v>
      </c>
      <c r="AG338" s="178" t="str">
        <f t="shared" si="244"/>
        <v>X</v>
      </c>
      <c r="AH338" s="176">
        <f t="shared" si="245"/>
        <v>24.51</v>
      </c>
    </row>
    <row r="339" spans="2:34" ht="16.5" outlineLevel="1" x14ac:dyDescent="0.25">
      <c r="B339" s="175" t="s">
        <v>2787</v>
      </c>
      <c r="C339" s="176">
        <v>72.209999999999994</v>
      </c>
      <c r="D339" s="176">
        <v>35.21</v>
      </c>
      <c r="E339" s="194">
        <v>3</v>
      </c>
      <c r="F339" s="194">
        <v>0</v>
      </c>
      <c r="G339" s="194">
        <f t="shared" si="246"/>
        <v>3</v>
      </c>
      <c r="H339" s="176"/>
      <c r="I339" s="178" t="str">
        <f t="shared" si="227"/>
        <v>X</v>
      </c>
      <c r="J339" s="176">
        <f t="shared" si="250"/>
        <v>105.63</v>
      </c>
      <c r="K339" s="178" t="str">
        <f t="shared" si="229"/>
        <v xml:space="preserve"> </v>
      </c>
      <c r="L339" s="176">
        <f t="shared" si="251"/>
        <v>0</v>
      </c>
      <c r="M339" s="178" t="str">
        <f t="shared" si="231"/>
        <v>X</v>
      </c>
      <c r="N339" s="177">
        <f t="shared" si="252"/>
        <v>105.63</v>
      </c>
      <c r="O339" s="178" t="str">
        <f t="shared" si="233"/>
        <v xml:space="preserve"> </v>
      </c>
      <c r="P339" s="176">
        <f t="shared" si="253"/>
        <v>0</v>
      </c>
      <c r="Q339" s="178" t="s">
        <v>0</v>
      </c>
      <c r="R339" s="176"/>
      <c r="S339" s="178" t="s">
        <v>2579</v>
      </c>
      <c r="T339" s="178" t="str">
        <f t="shared" si="235"/>
        <v xml:space="preserve"> </v>
      </c>
      <c r="U339" s="176">
        <f t="shared" si="247"/>
        <v>0</v>
      </c>
      <c r="V339" s="178" t="str">
        <f t="shared" si="236"/>
        <v>X</v>
      </c>
      <c r="W339" s="176">
        <f t="shared" si="248"/>
        <v>105.63</v>
      </c>
      <c r="X339" s="178" t="str">
        <f t="shared" si="237"/>
        <v xml:space="preserve"> </v>
      </c>
      <c r="Y339" s="176">
        <f t="shared" si="249"/>
        <v>0</v>
      </c>
      <c r="Z339" s="178" t="s">
        <v>2581</v>
      </c>
      <c r="AA339" s="178" t="str">
        <f t="shared" si="238"/>
        <v>X</v>
      </c>
      <c r="AB339" s="176">
        <f t="shared" si="239"/>
        <v>72.209999999999994</v>
      </c>
      <c r="AC339" s="178" t="str">
        <f t="shared" si="240"/>
        <v xml:space="preserve"> </v>
      </c>
      <c r="AD339" s="176">
        <f t="shared" si="241"/>
        <v>0</v>
      </c>
      <c r="AE339" s="178" t="str">
        <f t="shared" si="242"/>
        <v xml:space="preserve"> </v>
      </c>
      <c r="AF339" s="176">
        <f t="shared" si="243"/>
        <v>0</v>
      </c>
      <c r="AG339" s="178" t="str">
        <f t="shared" si="244"/>
        <v>X</v>
      </c>
      <c r="AH339" s="176">
        <f t="shared" si="245"/>
        <v>35.21</v>
      </c>
    </row>
    <row r="340" spans="2:34" ht="16.5" outlineLevel="1" x14ac:dyDescent="0.25">
      <c r="B340" s="175" t="s">
        <v>2788</v>
      </c>
      <c r="C340" s="176">
        <v>6.9</v>
      </c>
      <c r="D340" s="176">
        <v>10.9</v>
      </c>
      <c r="E340" s="194">
        <v>3</v>
      </c>
      <c r="F340" s="194">
        <v>0</v>
      </c>
      <c r="G340" s="194">
        <f t="shared" si="246"/>
        <v>3</v>
      </c>
      <c r="H340" s="176"/>
      <c r="I340" s="178" t="str">
        <f t="shared" si="227"/>
        <v>X</v>
      </c>
      <c r="J340" s="176">
        <f t="shared" si="250"/>
        <v>32.700000000000003</v>
      </c>
      <c r="K340" s="178" t="str">
        <f t="shared" si="229"/>
        <v xml:space="preserve"> </v>
      </c>
      <c r="L340" s="176">
        <f t="shared" si="251"/>
        <v>0</v>
      </c>
      <c r="M340" s="178" t="str">
        <f t="shared" si="231"/>
        <v>X</v>
      </c>
      <c r="N340" s="177">
        <f t="shared" si="252"/>
        <v>32.700000000000003</v>
      </c>
      <c r="O340" s="178" t="str">
        <f t="shared" si="233"/>
        <v xml:space="preserve"> </v>
      </c>
      <c r="P340" s="176">
        <f t="shared" si="253"/>
        <v>0</v>
      </c>
      <c r="Q340" s="178" t="s">
        <v>0</v>
      </c>
      <c r="R340" s="176"/>
      <c r="S340" s="178" t="s">
        <v>2579</v>
      </c>
      <c r="T340" s="178" t="str">
        <f t="shared" si="235"/>
        <v xml:space="preserve"> </v>
      </c>
      <c r="U340" s="176">
        <f t="shared" si="247"/>
        <v>0</v>
      </c>
      <c r="V340" s="178" t="str">
        <f t="shared" si="236"/>
        <v>X</v>
      </c>
      <c r="W340" s="176">
        <f t="shared" si="248"/>
        <v>32.700000000000003</v>
      </c>
      <c r="X340" s="178" t="str">
        <f t="shared" si="237"/>
        <v xml:space="preserve"> </v>
      </c>
      <c r="Y340" s="176">
        <f t="shared" si="249"/>
        <v>0</v>
      </c>
      <c r="Z340" s="178" t="s">
        <v>2581</v>
      </c>
      <c r="AA340" s="178" t="str">
        <f t="shared" si="238"/>
        <v>X</v>
      </c>
      <c r="AB340" s="176">
        <f t="shared" si="239"/>
        <v>6.9</v>
      </c>
      <c r="AC340" s="178" t="str">
        <f t="shared" si="240"/>
        <v xml:space="preserve"> </v>
      </c>
      <c r="AD340" s="176">
        <f t="shared" si="241"/>
        <v>0</v>
      </c>
      <c r="AE340" s="178" t="str">
        <f t="shared" si="242"/>
        <v xml:space="preserve"> </v>
      </c>
      <c r="AF340" s="176">
        <f t="shared" si="243"/>
        <v>0</v>
      </c>
      <c r="AG340" s="178" t="str">
        <f t="shared" si="244"/>
        <v>X</v>
      </c>
      <c r="AH340" s="176">
        <f t="shared" si="245"/>
        <v>10.9</v>
      </c>
    </row>
    <row r="341" spans="2:34" ht="16.5" outlineLevel="1" x14ac:dyDescent="0.25">
      <c r="B341" s="175" t="s">
        <v>2789</v>
      </c>
      <c r="C341" s="176">
        <v>60.28</v>
      </c>
      <c r="D341" s="176">
        <v>57.94</v>
      </c>
      <c r="E341" s="194">
        <v>3</v>
      </c>
      <c r="F341" s="194">
        <v>0</v>
      </c>
      <c r="G341" s="194">
        <f t="shared" si="246"/>
        <v>3</v>
      </c>
      <c r="H341" s="176"/>
      <c r="I341" s="178" t="str">
        <f t="shared" si="227"/>
        <v>X</v>
      </c>
      <c r="J341" s="176">
        <f t="shared" si="250"/>
        <v>173.82</v>
      </c>
      <c r="K341" s="178" t="str">
        <f t="shared" si="229"/>
        <v xml:space="preserve"> </v>
      </c>
      <c r="L341" s="176">
        <f t="shared" si="251"/>
        <v>0</v>
      </c>
      <c r="M341" s="178" t="str">
        <f t="shared" si="231"/>
        <v>X</v>
      </c>
      <c r="N341" s="177">
        <f t="shared" si="252"/>
        <v>173.82</v>
      </c>
      <c r="O341" s="178" t="str">
        <f t="shared" si="233"/>
        <v xml:space="preserve"> </v>
      </c>
      <c r="P341" s="176">
        <f t="shared" si="253"/>
        <v>0</v>
      </c>
      <c r="Q341" s="178" t="s">
        <v>0</v>
      </c>
      <c r="R341" s="176"/>
      <c r="S341" s="178" t="s">
        <v>2578</v>
      </c>
      <c r="T341" s="178" t="str">
        <f t="shared" si="235"/>
        <v>X</v>
      </c>
      <c r="U341" s="176">
        <f t="shared" si="247"/>
        <v>173.82</v>
      </c>
      <c r="V341" s="178" t="str">
        <f t="shared" si="236"/>
        <v xml:space="preserve"> </v>
      </c>
      <c r="W341" s="176">
        <f t="shared" si="248"/>
        <v>0</v>
      </c>
      <c r="X341" s="178" t="str">
        <f t="shared" si="237"/>
        <v xml:space="preserve"> </v>
      </c>
      <c r="Y341" s="176">
        <f t="shared" si="249"/>
        <v>0</v>
      </c>
      <c r="Z341" s="178" t="s">
        <v>2581</v>
      </c>
      <c r="AA341" s="178" t="str">
        <f t="shared" si="238"/>
        <v>X</v>
      </c>
      <c r="AB341" s="176">
        <f t="shared" si="239"/>
        <v>60.28</v>
      </c>
      <c r="AC341" s="178" t="str">
        <f t="shared" si="240"/>
        <v xml:space="preserve"> </v>
      </c>
      <c r="AD341" s="176">
        <f t="shared" si="241"/>
        <v>0</v>
      </c>
      <c r="AE341" s="178" t="str">
        <f t="shared" si="242"/>
        <v xml:space="preserve"> </v>
      </c>
      <c r="AF341" s="176">
        <f t="shared" si="243"/>
        <v>0</v>
      </c>
      <c r="AG341" s="178" t="str">
        <f t="shared" si="244"/>
        <v>X</v>
      </c>
      <c r="AH341" s="176">
        <f t="shared" si="245"/>
        <v>57.94</v>
      </c>
    </row>
    <row r="342" spans="2:34" ht="16.5" x14ac:dyDescent="0.25">
      <c r="B342" s="182"/>
      <c r="C342" s="185"/>
      <c r="D342" s="185"/>
      <c r="E342" s="185"/>
      <c r="F342" s="185"/>
      <c r="G342" s="185"/>
      <c r="H342" s="185"/>
      <c r="I342" s="184"/>
      <c r="J342" s="185"/>
      <c r="K342" s="184"/>
      <c r="L342" s="185"/>
      <c r="M342" s="184"/>
      <c r="N342" s="185"/>
      <c r="O342" s="201"/>
      <c r="P342" s="185"/>
      <c r="Q342" s="184"/>
      <c r="R342" s="189"/>
      <c r="S342" s="185"/>
      <c r="T342" s="184"/>
      <c r="U342" s="185"/>
      <c r="V342" s="184"/>
      <c r="W342" s="185"/>
      <c r="X342" s="184"/>
      <c r="Y342" s="189"/>
      <c r="Z342" s="185"/>
      <c r="AA342" s="184"/>
      <c r="AB342" s="185"/>
      <c r="AC342" s="184"/>
      <c r="AD342" s="185"/>
      <c r="AE342" s="184"/>
      <c r="AF342" s="189"/>
      <c r="AG342" s="184"/>
      <c r="AH342" s="189"/>
    </row>
    <row r="343" spans="2:34" ht="16.5" x14ac:dyDescent="0.25">
      <c r="B343" s="929" t="s">
        <v>2790</v>
      </c>
      <c r="C343" s="930"/>
      <c r="D343" s="930"/>
      <c r="E343" s="930"/>
      <c r="F343" s="930"/>
      <c r="G343" s="930"/>
      <c r="H343" s="931"/>
      <c r="I343" s="190" t="s">
        <v>2586</v>
      </c>
      <c r="J343" s="191">
        <f>SUBTOTAL(9,J344:J351)</f>
        <v>349.11</v>
      </c>
      <c r="K343" s="192" t="s">
        <v>2586</v>
      </c>
      <c r="L343" s="191">
        <f>SUBTOTAL(9,L344:L351)</f>
        <v>52.5</v>
      </c>
      <c r="M343" s="190" t="s">
        <v>2586</v>
      </c>
      <c r="N343" s="200">
        <f>SUBTOTAL(9,N344:N351)</f>
        <v>296.61</v>
      </c>
      <c r="O343" s="190" t="s">
        <v>2586</v>
      </c>
      <c r="P343" s="191">
        <f>SUBTOTAL(9,P344:P351)</f>
        <v>52.5</v>
      </c>
      <c r="Q343" s="190" t="s">
        <v>2586</v>
      </c>
      <c r="R343" s="191">
        <f>SUBTOTAL(9,R344:R351)</f>
        <v>0</v>
      </c>
      <c r="S343" s="191"/>
      <c r="T343" s="190" t="s">
        <v>2586</v>
      </c>
      <c r="U343" s="200">
        <f>SUBTOTAL(9,U344:U351)</f>
        <v>251.01</v>
      </c>
      <c r="V343" s="190" t="s">
        <v>2586</v>
      </c>
      <c r="W343" s="191">
        <f>SUBTOTAL(9,W344:W351)</f>
        <v>45.599999999999994</v>
      </c>
      <c r="X343" s="190" t="s">
        <v>2586</v>
      </c>
      <c r="Y343" s="191">
        <f>SUBTOTAL(9,Y344:Y351)</f>
        <v>0</v>
      </c>
      <c r="Z343" s="191"/>
      <c r="AA343" s="190" t="s">
        <v>2586</v>
      </c>
      <c r="AB343" s="200">
        <f>SUBTOTAL(9,AB344:AB351)</f>
        <v>78.66</v>
      </c>
      <c r="AC343" s="190" t="s">
        <v>2586</v>
      </c>
      <c r="AD343" s="191">
        <f>SUBTOTAL(9,AD344:AD351)</f>
        <v>13.47</v>
      </c>
      <c r="AE343" s="190" t="s">
        <v>2586</v>
      </c>
      <c r="AF343" s="191">
        <f>SUBTOTAL(9,AF344:AF351)</f>
        <v>0</v>
      </c>
      <c r="AG343" s="190" t="s">
        <v>2586</v>
      </c>
      <c r="AH343" s="191">
        <f>SUBTOTAL(9,AH344:AH351)</f>
        <v>91.37</v>
      </c>
    </row>
    <row r="344" spans="2:34" ht="16.5" outlineLevel="1" x14ac:dyDescent="0.25">
      <c r="B344" s="175" t="s">
        <v>2791</v>
      </c>
      <c r="C344" s="176">
        <v>36.22</v>
      </c>
      <c r="D344" s="176">
        <v>37.42</v>
      </c>
      <c r="E344" s="194">
        <v>3</v>
      </c>
      <c r="F344" s="194">
        <v>0</v>
      </c>
      <c r="G344" s="194">
        <f>E344-F344</f>
        <v>3</v>
      </c>
      <c r="H344" s="176"/>
      <c r="I344" s="178" t="str">
        <f t="shared" ref="I344:I351" si="254">IF($E344&gt;0,"X"," ")</f>
        <v>X</v>
      </c>
      <c r="J344" s="176">
        <f t="shared" ref="J344:J351" si="255">IF(I344="X",($D344-H344)*E344,0)</f>
        <v>112.26</v>
      </c>
      <c r="K344" s="178" t="str">
        <f t="shared" ref="K344:K351" si="256">IF($F344&gt;0,"X"," ")</f>
        <v xml:space="preserve"> </v>
      </c>
      <c r="L344" s="176">
        <f t="shared" ref="L344:L351" si="257">IF(K344="X",($D344-H344)*F344,0)</f>
        <v>0</v>
      </c>
      <c r="M344" s="178" t="str">
        <f t="shared" ref="M344:M351" si="258">IF($E344&gt;0,"X"," ")</f>
        <v>X</v>
      </c>
      <c r="N344" s="177">
        <f t="shared" ref="N344:N351" si="259">IF(M344="X",J344-L344,0)</f>
        <v>112.26</v>
      </c>
      <c r="O344" s="178" t="str">
        <f t="shared" ref="O344:O351" si="260">IF($F344&gt;0,"X"," ")</f>
        <v xml:space="preserve"> </v>
      </c>
      <c r="P344" s="176">
        <f t="shared" ref="P344:P351" si="261">IF(L344&gt;0,L344,0)</f>
        <v>0</v>
      </c>
      <c r="Q344" s="178" t="s">
        <v>0</v>
      </c>
      <c r="R344" s="176"/>
      <c r="S344" s="178" t="s">
        <v>2578</v>
      </c>
      <c r="T344" s="178" t="str">
        <f t="shared" ref="T344:T351" si="262">IF($S344="ACRÍLICA","X"," ")</f>
        <v>X</v>
      </c>
      <c r="U344" s="176">
        <f>IF(T344="X",$N344,0)</f>
        <v>112.26</v>
      </c>
      <c r="V344" s="178" t="str">
        <f t="shared" ref="V344:V351" si="263">IF($S344="EPÓXI","X"," ")</f>
        <v xml:space="preserve"> </v>
      </c>
      <c r="W344" s="176">
        <f>IF(V344="X",$N344,0)</f>
        <v>0</v>
      </c>
      <c r="X344" s="178" t="str">
        <f t="shared" ref="X344:X351" si="264">IF($S344="TEXTURA","X"," ")</f>
        <v xml:space="preserve"> </v>
      </c>
      <c r="Y344" s="176">
        <f>IF(X344="X",$N344,0)</f>
        <v>0</v>
      </c>
      <c r="Z344" s="178" t="s">
        <v>2581</v>
      </c>
      <c r="AA344" s="178" t="str">
        <f t="shared" ref="AA344:AA351" si="265">IF($Z344="ACARTONADO","X"," ")</f>
        <v>X</v>
      </c>
      <c r="AB344" s="176">
        <f t="shared" ref="AB344:AB351" si="266">IF(AA344="X",$C344,0)</f>
        <v>36.22</v>
      </c>
      <c r="AC344" s="178" t="str">
        <f t="shared" ref="AC344:AC351" si="267">IF($Z344="MINERAL","X"," ")</f>
        <v xml:space="preserve"> </v>
      </c>
      <c r="AD344" s="176">
        <f t="shared" ref="AD344:AD351" si="268">IF(AC344="X",$C344,0)</f>
        <v>0</v>
      </c>
      <c r="AE344" s="178" t="str">
        <f t="shared" ref="AE344:AE351" si="269">IF($Z344="LAJE","X"," ")</f>
        <v xml:space="preserve"> </v>
      </c>
      <c r="AF344" s="176">
        <f t="shared" ref="AF344:AF351" si="270">IF(AE344="X",$C344,0)</f>
        <v>0</v>
      </c>
      <c r="AG344" s="178" t="str">
        <f t="shared" ref="AG344:AG351" si="271">IF(K344="X","","X")</f>
        <v>X</v>
      </c>
      <c r="AH344" s="176">
        <f t="shared" ref="AH344:AH351" si="272">IF(AG344="X",$D344-H344,0)</f>
        <v>37.42</v>
      </c>
    </row>
    <row r="345" spans="2:34" ht="16.5" outlineLevel="1" x14ac:dyDescent="0.25">
      <c r="B345" s="175" t="s">
        <v>2792</v>
      </c>
      <c r="C345" s="176">
        <v>15.27</v>
      </c>
      <c r="D345" s="176">
        <v>17.7</v>
      </c>
      <c r="E345" s="194">
        <v>3</v>
      </c>
      <c r="F345" s="194">
        <v>0</v>
      </c>
      <c r="G345" s="194">
        <f t="shared" ref="G345:G351" si="273">E345-F345</f>
        <v>3</v>
      </c>
      <c r="H345" s="176"/>
      <c r="I345" s="178" t="str">
        <f t="shared" si="254"/>
        <v>X</v>
      </c>
      <c r="J345" s="176">
        <f t="shared" si="255"/>
        <v>53.099999999999994</v>
      </c>
      <c r="K345" s="178" t="str">
        <f t="shared" si="256"/>
        <v xml:space="preserve"> </v>
      </c>
      <c r="L345" s="176">
        <f t="shared" si="257"/>
        <v>0</v>
      </c>
      <c r="M345" s="178" t="str">
        <f t="shared" si="258"/>
        <v>X</v>
      </c>
      <c r="N345" s="177">
        <f t="shared" si="259"/>
        <v>53.099999999999994</v>
      </c>
      <c r="O345" s="178" t="str">
        <f t="shared" si="260"/>
        <v xml:space="preserve"> </v>
      </c>
      <c r="P345" s="176">
        <f t="shared" si="261"/>
        <v>0</v>
      </c>
      <c r="Q345" s="178" t="s">
        <v>0</v>
      </c>
      <c r="R345" s="176"/>
      <c r="S345" s="178" t="s">
        <v>2578</v>
      </c>
      <c r="T345" s="178" t="str">
        <f t="shared" si="262"/>
        <v>X</v>
      </c>
      <c r="U345" s="176">
        <f t="shared" ref="U345:U351" si="274">IF(T345="X",$N345,0)</f>
        <v>53.099999999999994</v>
      </c>
      <c r="V345" s="178" t="str">
        <f t="shared" si="263"/>
        <v xml:space="preserve"> </v>
      </c>
      <c r="W345" s="176">
        <f t="shared" ref="W345:W351" si="275">IF(V345="X",$N345,0)</f>
        <v>0</v>
      </c>
      <c r="X345" s="178" t="str">
        <f t="shared" si="264"/>
        <v xml:space="preserve"> </v>
      </c>
      <c r="Y345" s="176">
        <f t="shared" ref="Y345:Y351" si="276">IF(X345="X",$N345,0)</f>
        <v>0</v>
      </c>
      <c r="Z345" s="178" t="s">
        <v>2581</v>
      </c>
      <c r="AA345" s="178" t="str">
        <f t="shared" si="265"/>
        <v>X</v>
      </c>
      <c r="AB345" s="176">
        <f t="shared" si="266"/>
        <v>15.27</v>
      </c>
      <c r="AC345" s="178" t="str">
        <f t="shared" si="267"/>
        <v xml:space="preserve"> </v>
      </c>
      <c r="AD345" s="176">
        <f t="shared" si="268"/>
        <v>0</v>
      </c>
      <c r="AE345" s="178" t="str">
        <f t="shared" si="269"/>
        <v xml:space="preserve"> </v>
      </c>
      <c r="AF345" s="176">
        <f t="shared" si="270"/>
        <v>0</v>
      </c>
      <c r="AG345" s="178" t="str">
        <f t="shared" si="271"/>
        <v>X</v>
      </c>
      <c r="AH345" s="176">
        <f t="shared" si="272"/>
        <v>17.7</v>
      </c>
    </row>
    <row r="346" spans="2:34" ht="16.5" outlineLevel="1" x14ac:dyDescent="0.25">
      <c r="B346" s="175" t="s">
        <v>2793</v>
      </c>
      <c r="C346" s="176">
        <v>3.53</v>
      </c>
      <c r="D346" s="176">
        <v>7.7</v>
      </c>
      <c r="E346" s="194">
        <v>3</v>
      </c>
      <c r="F346" s="194">
        <v>2.1</v>
      </c>
      <c r="G346" s="194">
        <f t="shared" si="273"/>
        <v>0.89999999999999991</v>
      </c>
      <c r="H346" s="176"/>
      <c r="I346" s="178" t="str">
        <f t="shared" si="254"/>
        <v>X</v>
      </c>
      <c r="J346" s="176">
        <f t="shared" si="255"/>
        <v>23.1</v>
      </c>
      <c r="K346" s="178" t="str">
        <f t="shared" si="256"/>
        <v>X</v>
      </c>
      <c r="L346" s="176">
        <f t="shared" si="257"/>
        <v>16.170000000000002</v>
      </c>
      <c r="M346" s="178" t="str">
        <f t="shared" si="258"/>
        <v>X</v>
      </c>
      <c r="N346" s="177">
        <f t="shared" si="259"/>
        <v>6.93</v>
      </c>
      <c r="O346" s="178" t="str">
        <f t="shared" si="260"/>
        <v>X</v>
      </c>
      <c r="P346" s="176">
        <f t="shared" si="261"/>
        <v>16.170000000000002</v>
      </c>
      <c r="Q346" s="178" t="s">
        <v>0</v>
      </c>
      <c r="R346" s="176"/>
      <c r="S346" s="178" t="s">
        <v>2578</v>
      </c>
      <c r="T346" s="178" t="str">
        <f t="shared" si="262"/>
        <v>X</v>
      </c>
      <c r="U346" s="176">
        <f t="shared" si="274"/>
        <v>6.93</v>
      </c>
      <c r="V346" s="178" t="str">
        <f t="shared" si="263"/>
        <v xml:space="preserve"> </v>
      </c>
      <c r="W346" s="176">
        <f t="shared" si="275"/>
        <v>0</v>
      </c>
      <c r="X346" s="178" t="str">
        <f t="shared" si="264"/>
        <v xml:space="preserve"> </v>
      </c>
      <c r="Y346" s="176">
        <f t="shared" si="276"/>
        <v>0</v>
      </c>
      <c r="Z346" s="178" t="s">
        <v>2581</v>
      </c>
      <c r="AA346" s="178" t="str">
        <f t="shared" si="265"/>
        <v>X</v>
      </c>
      <c r="AB346" s="176">
        <f t="shared" si="266"/>
        <v>3.53</v>
      </c>
      <c r="AC346" s="178" t="str">
        <f t="shared" si="267"/>
        <v xml:space="preserve"> </v>
      </c>
      <c r="AD346" s="176">
        <f t="shared" si="268"/>
        <v>0</v>
      </c>
      <c r="AE346" s="178" t="str">
        <f t="shared" si="269"/>
        <v xml:space="preserve"> </v>
      </c>
      <c r="AF346" s="176">
        <f t="shared" si="270"/>
        <v>0</v>
      </c>
      <c r="AG346" s="178" t="str">
        <f t="shared" si="271"/>
        <v/>
      </c>
      <c r="AH346" s="176">
        <f t="shared" si="272"/>
        <v>0</v>
      </c>
    </row>
    <row r="347" spans="2:34" ht="16.5" outlineLevel="1" x14ac:dyDescent="0.25">
      <c r="B347" s="175" t="s">
        <v>2591</v>
      </c>
      <c r="C347" s="176">
        <v>2.31</v>
      </c>
      <c r="D347" s="176">
        <v>6.25</v>
      </c>
      <c r="E347" s="194">
        <v>3</v>
      </c>
      <c r="F347" s="194">
        <v>2.1</v>
      </c>
      <c r="G347" s="194">
        <f t="shared" si="273"/>
        <v>0.89999999999999991</v>
      </c>
      <c r="H347" s="176"/>
      <c r="I347" s="178" t="str">
        <f t="shared" si="254"/>
        <v>X</v>
      </c>
      <c r="J347" s="176">
        <f t="shared" si="255"/>
        <v>18.75</v>
      </c>
      <c r="K347" s="178" t="str">
        <f t="shared" si="256"/>
        <v>X</v>
      </c>
      <c r="L347" s="176">
        <f t="shared" si="257"/>
        <v>13.125</v>
      </c>
      <c r="M347" s="178" t="str">
        <f t="shared" si="258"/>
        <v>X</v>
      </c>
      <c r="N347" s="177">
        <f t="shared" si="259"/>
        <v>5.625</v>
      </c>
      <c r="O347" s="178" t="str">
        <f t="shared" si="260"/>
        <v>X</v>
      </c>
      <c r="P347" s="176">
        <f t="shared" si="261"/>
        <v>13.125</v>
      </c>
      <c r="Q347" s="178" t="s">
        <v>0</v>
      </c>
      <c r="R347" s="176"/>
      <c r="S347" s="178" t="s">
        <v>2578</v>
      </c>
      <c r="T347" s="178" t="str">
        <f t="shared" si="262"/>
        <v>X</v>
      </c>
      <c r="U347" s="176">
        <f t="shared" si="274"/>
        <v>5.625</v>
      </c>
      <c r="V347" s="178" t="str">
        <f t="shared" si="263"/>
        <v xml:space="preserve"> </v>
      </c>
      <c r="W347" s="176">
        <f t="shared" si="275"/>
        <v>0</v>
      </c>
      <c r="X347" s="178" t="str">
        <f t="shared" si="264"/>
        <v xml:space="preserve"> </v>
      </c>
      <c r="Y347" s="176">
        <f t="shared" si="276"/>
        <v>0</v>
      </c>
      <c r="Z347" s="178" t="s">
        <v>2581</v>
      </c>
      <c r="AA347" s="178" t="str">
        <f t="shared" si="265"/>
        <v>X</v>
      </c>
      <c r="AB347" s="176">
        <f t="shared" si="266"/>
        <v>2.31</v>
      </c>
      <c r="AC347" s="178" t="str">
        <f t="shared" si="267"/>
        <v xml:space="preserve"> </v>
      </c>
      <c r="AD347" s="176">
        <f t="shared" si="268"/>
        <v>0</v>
      </c>
      <c r="AE347" s="178" t="str">
        <f t="shared" si="269"/>
        <v xml:space="preserve"> </v>
      </c>
      <c r="AF347" s="176">
        <f t="shared" si="270"/>
        <v>0</v>
      </c>
      <c r="AG347" s="178" t="str">
        <f t="shared" si="271"/>
        <v/>
      </c>
      <c r="AH347" s="176">
        <f t="shared" si="272"/>
        <v>0</v>
      </c>
    </row>
    <row r="348" spans="2:34" ht="16.5" outlineLevel="1" x14ac:dyDescent="0.25">
      <c r="B348" s="175" t="s">
        <v>2666</v>
      </c>
      <c r="C348" s="176">
        <v>6.93</v>
      </c>
      <c r="D348" s="176">
        <v>11.05</v>
      </c>
      <c r="E348" s="194">
        <v>3</v>
      </c>
      <c r="F348" s="194">
        <v>2.1</v>
      </c>
      <c r="G348" s="194">
        <f t="shared" si="273"/>
        <v>0.89999999999999991</v>
      </c>
      <c r="H348" s="176"/>
      <c r="I348" s="178" t="str">
        <f t="shared" si="254"/>
        <v>X</v>
      </c>
      <c r="J348" s="176">
        <f t="shared" si="255"/>
        <v>33.150000000000006</v>
      </c>
      <c r="K348" s="178" t="str">
        <f t="shared" si="256"/>
        <v>X</v>
      </c>
      <c r="L348" s="176">
        <f t="shared" si="257"/>
        <v>23.205000000000002</v>
      </c>
      <c r="M348" s="178" t="str">
        <f t="shared" si="258"/>
        <v>X</v>
      </c>
      <c r="N348" s="177">
        <f t="shared" si="259"/>
        <v>9.9450000000000038</v>
      </c>
      <c r="O348" s="178" t="str">
        <f t="shared" si="260"/>
        <v>X</v>
      </c>
      <c r="P348" s="176">
        <f t="shared" si="261"/>
        <v>23.205000000000002</v>
      </c>
      <c r="Q348" s="178" t="s">
        <v>0</v>
      </c>
      <c r="R348" s="176"/>
      <c r="S348" s="178" t="s">
        <v>2578</v>
      </c>
      <c r="T348" s="178" t="str">
        <f t="shared" si="262"/>
        <v>X</v>
      </c>
      <c r="U348" s="176">
        <f t="shared" si="274"/>
        <v>9.9450000000000038</v>
      </c>
      <c r="V348" s="178" t="str">
        <f t="shared" si="263"/>
        <v xml:space="preserve"> </v>
      </c>
      <c r="W348" s="176">
        <f t="shared" si="275"/>
        <v>0</v>
      </c>
      <c r="X348" s="178" t="str">
        <f t="shared" si="264"/>
        <v xml:space="preserve"> </v>
      </c>
      <c r="Y348" s="176">
        <f t="shared" si="276"/>
        <v>0</v>
      </c>
      <c r="Z348" s="178" t="s">
        <v>2581</v>
      </c>
      <c r="AA348" s="178" t="str">
        <f t="shared" si="265"/>
        <v>X</v>
      </c>
      <c r="AB348" s="176">
        <f t="shared" si="266"/>
        <v>6.93</v>
      </c>
      <c r="AC348" s="178" t="str">
        <f t="shared" si="267"/>
        <v xml:space="preserve"> </v>
      </c>
      <c r="AD348" s="176">
        <f t="shared" si="268"/>
        <v>0</v>
      </c>
      <c r="AE348" s="178" t="str">
        <f t="shared" si="269"/>
        <v xml:space="preserve"> </v>
      </c>
      <c r="AF348" s="176">
        <f t="shared" si="270"/>
        <v>0</v>
      </c>
      <c r="AG348" s="178" t="str">
        <f t="shared" si="271"/>
        <v/>
      </c>
      <c r="AH348" s="176">
        <f t="shared" si="272"/>
        <v>0</v>
      </c>
    </row>
    <row r="349" spans="2:34" ht="16.5" outlineLevel="1" x14ac:dyDescent="0.25">
      <c r="B349" s="175" t="s">
        <v>2697</v>
      </c>
      <c r="C349" s="176">
        <v>4.67</v>
      </c>
      <c r="D349" s="176">
        <v>8.65</v>
      </c>
      <c r="E349" s="194">
        <v>3</v>
      </c>
      <c r="F349" s="194">
        <v>0</v>
      </c>
      <c r="G349" s="194">
        <f t="shared" si="273"/>
        <v>3</v>
      </c>
      <c r="H349" s="176"/>
      <c r="I349" s="178" t="str">
        <f t="shared" si="254"/>
        <v>X</v>
      </c>
      <c r="J349" s="176">
        <f t="shared" si="255"/>
        <v>25.950000000000003</v>
      </c>
      <c r="K349" s="178" t="str">
        <f t="shared" si="256"/>
        <v xml:space="preserve"> </v>
      </c>
      <c r="L349" s="176">
        <f t="shared" si="257"/>
        <v>0</v>
      </c>
      <c r="M349" s="178" t="str">
        <f t="shared" si="258"/>
        <v>X</v>
      </c>
      <c r="N349" s="177">
        <f t="shared" si="259"/>
        <v>25.950000000000003</v>
      </c>
      <c r="O349" s="178" t="str">
        <f t="shared" si="260"/>
        <v xml:space="preserve"> </v>
      </c>
      <c r="P349" s="176">
        <f t="shared" si="261"/>
        <v>0</v>
      </c>
      <c r="Q349" s="178" t="s">
        <v>0</v>
      </c>
      <c r="R349" s="176"/>
      <c r="S349" s="178" t="s">
        <v>2578</v>
      </c>
      <c r="T349" s="178" t="str">
        <f t="shared" si="262"/>
        <v>X</v>
      </c>
      <c r="U349" s="176">
        <f t="shared" si="274"/>
        <v>25.950000000000003</v>
      </c>
      <c r="V349" s="178" t="str">
        <f t="shared" si="263"/>
        <v xml:space="preserve"> </v>
      </c>
      <c r="W349" s="176">
        <f t="shared" si="275"/>
        <v>0</v>
      </c>
      <c r="X349" s="178" t="str">
        <f t="shared" si="264"/>
        <v xml:space="preserve"> </v>
      </c>
      <c r="Y349" s="176">
        <f t="shared" si="276"/>
        <v>0</v>
      </c>
      <c r="Z349" s="178" t="s">
        <v>2582</v>
      </c>
      <c r="AA349" s="178" t="str">
        <f t="shared" si="265"/>
        <v xml:space="preserve"> </v>
      </c>
      <c r="AB349" s="176">
        <f t="shared" si="266"/>
        <v>0</v>
      </c>
      <c r="AC349" s="178" t="str">
        <f t="shared" si="267"/>
        <v>X</v>
      </c>
      <c r="AD349" s="176">
        <f t="shared" si="268"/>
        <v>4.67</v>
      </c>
      <c r="AE349" s="178" t="str">
        <f t="shared" si="269"/>
        <v xml:space="preserve"> </v>
      </c>
      <c r="AF349" s="176">
        <f t="shared" si="270"/>
        <v>0</v>
      </c>
      <c r="AG349" s="178" t="str">
        <f t="shared" si="271"/>
        <v>X</v>
      </c>
      <c r="AH349" s="176">
        <f t="shared" si="272"/>
        <v>8.65</v>
      </c>
    </row>
    <row r="350" spans="2:34" ht="16.5" outlineLevel="1" x14ac:dyDescent="0.25">
      <c r="B350" s="175" t="s">
        <v>2594</v>
      </c>
      <c r="C350" s="176">
        <v>8.8000000000000007</v>
      </c>
      <c r="D350" s="176">
        <v>12.4</v>
      </c>
      <c r="E350" s="194">
        <v>3</v>
      </c>
      <c r="F350" s="194">
        <v>0</v>
      </c>
      <c r="G350" s="194">
        <f t="shared" si="273"/>
        <v>3</v>
      </c>
      <c r="H350" s="176"/>
      <c r="I350" s="178" t="str">
        <f t="shared" si="254"/>
        <v>X</v>
      </c>
      <c r="J350" s="176">
        <f t="shared" si="255"/>
        <v>37.200000000000003</v>
      </c>
      <c r="K350" s="178" t="str">
        <f t="shared" si="256"/>
        <v xml:space="preserve"> </v>
      </c>
      <c r="L350" s="176">
        <f t="shared" si="257"/>
        <v>0</v>
      </c>
      <c r="M350" s="178" t="str">
        <f t="shared" si="258"/>
        <v>X</v>
      </c>
      <c r="N350" s="177">
        <f t="shared" si="259"/>
        <v>37.200000000000003</v>
      </c>
      <c r="O350" s="178" t="str">
        <f t="shared" si="260"/>
        <v xml:space="preserve"> </v>
      </c>
      <c r="P350" s="176">
        <f t="shared" si="261"/>
        <v>0</v>
      </c>
      <c r="Q350" s="178" t="s">
        <v>0</v>
      </c>
      <c r="R350" s="176"/>
      <c r="S350" s="178" t="s">
        <v>2578</v>
      </c>
      <c r="T350" s="178" t="str">
        <f t="shared" si="262"/>
        <v>X</v>
      </c>
      <c r="U350" s="176">
        <f t="shared" si="274"/>
        <v>37.200000000000003</v>
      </c>
      <c r="V350" s="178" t="str">
        <f t="shared" si="263"/>
        <v xml:space="preserve"> </v>
      </c>
      <c r="W350" s="176">
        <f t="shared" si="275"/>
        <v>0</v>
      </c>
      <c r="X350" s="178" t="str">
        <f t="shared" si="264"/>
        <v xml:space="preserve"> </v>
      </c>
      <c r="Y350" s="176">
        <f t="shared" si="276"/>
        <v>0</v>
      </c>
      <c r="Z350" s="178" t="s">
        <v>2582</v>
      </c>
      <c r="AA350" s="178" t="str">
        <f t="shared" si="265"/>
        <v xml:space="preserve"> </v>
      </c>
      <c r="AB350" s="176">
        <f t="shared" si="266"/>
        <v>0</v>
      </c>
      <c r="AC350" s="178" t="str">
        <f t="shared" si="267"/>
        <v>X</v>
      </c>
      <c r="AD350" s="176">
        <f t="shared" si="268"/>
        <v>8.8000000000000007</v>
      </c>
      <c r="AE350" s="178" t="str">
        <f t="shared" si="269"/>
        <v xml:space="preserve"> </v>
      </c>
      <c r="AF350" s="176">
        <f t="shared" si="270"/>
        <v>0</v>
      </c>
      <c r="AG350" s="178" t="str">
        <f t="shared" si="271"/>
        <v>X</v>
      </c>
      <c r="AH350" s="176">
        <f t="shared" si="272"/>
        <v>12.4</v>
      </c>
    </row>
    <row r="351" spans="2:34" ht="16.5" outlineLevel="1" x14ac:dyDescent="0.25">
      <c r="B351" s="175" t="s">
        <v>2794</v>
      </c>
      <c r="C351" s="176">
        <v>14.4</v>
      </c>
      <c r="D351" s="176">
        <v>15.2</v>
      </c>
      <c r="E351" s="194">
        <v>3</v>
      </c>
      <c r="F351" s="194">
        <v>0</v>
      </c>
      <c r="G351" s="194">
        <f t="shared" si="273"/>
        <v>3</v>
      </c>
      <c r="H351" s="176"/>
      <c r="I351" s="178" t="str">
        <f t="shared" si="254"/>
        <v>X</v>
      </c>
      <c r="J351" s="176">
        <f t="shared" si="255"/>
        <v>45.599999999999994</v>
      </c>
      <c r="K351" s="178" t="str">
        <f t="shared" si="256"/>
        <v xml:space="preserve"> </v>
      </c>
      <c r="L351" s="176">
        <f t="shared" si="257"/>
        <v>0</v>
      </c>
      <c r="M351" s="178" t="str">
        <f t="shared" si="258"/>
        <v>X</v>
      </c>
      <c r="N351" s="177">
        <f t="shared" si="259"/>
        <v>45.599999999999994</v>
      </c>
      <c r="O351" s="178" t="str">
        <f t="shared" si="260"/>
        <v xml:space="preserve"> </v>
      </c>
      <c r="P351" s="176">
        <f t="shared" si="261"/>
        <v>0</v>
      </c>
      <c r="Q351" s="178" t="s">
        <v>0</v>
      </c>
      <c r="R351" s="176"/>
      <c r="S351" s="178" t="s">
        <v>2579</v>
      </c>
      <c r="T351" s="178" t="str">
        <f t="shared" si="262"/>
        <v xml:space="preserve"> </v>
      </c>
      <c r="U351" s="176">
        <f t="shared" si="274"/>
        <v>0</v>
      </c>
      <c r="V351" s="178" t="str">
        <f t="shared" si="263"/>
        <v>X</v>
      </c>
      <c r="W351" s="176">
        <f t="shared" si="275"/>
        <v>45.599999999999994</v>
      </c>
      <c r="X351" s="178" t="str">
        <f t="shared" si="264"/>
        <v xml:space="preserve"> </v>
      </c>
      <c r="Y351" s="176">
        <f t="shared" si="276"/>
        <v>0</v>
      </c>
      <c r="Z351" s="178" t="s">
        <v>2581</v>
      </c>
      <c r="AA351" s="178" t="str">
        <f t="shared" si="265"/>
        <v>X</v>
      </c>
      <c r="AB351" s="176">
        <f t="shared" si="266"/>
        <v>14.4</v>
      </c>
      <c r="AC351" s="178" t="str">
        <f t="shared" si="267"/>
        <v xml:space="preserve"> </v>
      </c>
      <c r="AD351" s="176">
        <f t="shared" si="268"/>
        <v>0</v>
      </c>
      <c r="AE351" s="178" t="str">
        <f t="shared" si="269"/>
        <v xml:space="preserve"> </v>
      </c>
      <c r="AF351" s="176">
        <f t="shared" si="270"/>
        <v>0</v>
      </c>
      <c r="AG351" s="178" t="str">
        <f t="shared" si="271"/>
        <v>X</v>
      </c>
      <c r="AH351" s="176">
        <f t="shared" si="272"/>
        <v>15.2</v>
      </c>
    </row>
    <row r="352" spans="2:34" ht="16.5" x14ac:dyDescent="0.25">
      <c r="B352" s="182"/>
      <c r="C352" s="185"/>
      <c r="D352" s="185"/>
      <c r="E352" s="185"/>
      <c r="F352" s="185"/>
      <c r="G352" s="185"/>
      <c r="H352" s="185"/>
      <c r="I352" s="184"/>
      <c r="J352" s="185"/>
      <c r="K352" s="184"/>
      <c r="L352" s="185"/>
      <c r="M352" s="184"/>
      <c r="N352" s="185"/>
      <c r="O352" s="201"/>
      <c r="P352" s="185"/>
      <c r="Q352" s="184"/>
      <c r="R352" s="189"/>
      <c r="S352" s="185"/>
      <c r="T352" s="184"/>
      <c r="U352" s="185"/>
      <c r="V352" s="184"/>
      <c r="W352" s="185"/>
      <c r="X352" s="184"/>
      <c r="Y352" s="189"/>
      <c r="Z352" s="185"/>
      <c r="AA352" s="184"/>
      <c r="AB352" s="185"/>
      <c r="AC352" s="184"/>
      <c r="AD352" s="185"/>
      <c r="AE352" s="184"/>
      <c r="AF352" s="189"/>
      <c r="AG352" s="184"/>
      <c r="AH352" s="189"/>
    </row>
    <row r="353" spans="2:34" ht="16.5" x14ac:dyDescent="0.25">
      <c r="B353" s="929" t="s">
        <v>2795</v>
      </c>
      <c r="C353" s="930"/>
      <c r="D353" s="930"/>
      <c r="E353" s="930"/>
      <c r="F353" s="930"/>
      <c r="G353" s="930"/>
      <c r="H353" s="931"/>
      <c r="I353" s="190" t="s">
        <v>2586</v>
      </c>
      <c r="J353" s="191">
        <f>SUBTOTAL(9,J354:J357)</f>
        <v>52.470000000000006</v>
      </c>
      <c r="K353" s="192" t="s">
        <v>2586</v>
      </c>
      <c r="L353" s="191">
        <f>SUBTOTAL(9,L354:L357)</f>
        <v>47.34</v>
      </c>
      <c r="M353" s="190" t="s">
        <v>2586</v>
      </c>
      <c r="N353" s="200">
        <f>SUBTOTAL(9,N354:N357)</f>
        <v>5.1300000000000008</v>
      </c>
      <c r="O353" s="190" t="s">
        <v>2586</v>
      </c>
      <c r="P353" s="191">
        <f>SUBTOTAL(9,P354:P357)</f>
        <v>47.34</v>
      </c>
      <c r="Q353" s="190" t="s">
        <v>2586</v>
      </c>
      <c r="R353" s="191">
        <f>SUBTOTAL(9,R354:R357)</f>
        <v>0</v>
      </c>
      <c r="S353" s="191"/>
      <c r="T353" s="190" t="s">
        <v>2586</v>
      </c>
      <c r="U353" s="200">
        <f>SUBTOTAL(9,U354:U357)</f>
        <v>5.1300000000000008</v>
      </c>
      <c r="V353" s="190" t="s">
        <v>2586</v>
      </c>
      <c r="W353" s="191">
        <f>SUBTOTAL(9,W354:W357)</f>
        <v>0</v>
      </c>
      <c r="X353" s="190" t="s">
        <v>2586</v>
      </c>
      <c r="Y353" s="191">
        <f>SUBTOTAL(9,Y354:Y357)</f>
        <v>0</v>
      </c>
      <c r="Z353" s="191"/>
      <c r="AA353" s="190" t="s">
        <v>2586</v>
      </c>
      <c r="AB353" s="200">
        <f>SUBTOTAL(9,AB354:AB357)</f>
        <v>8.59</v>
      </c>
      <c r="AC353" s="190" t="s">
        <v>2586</v>
      </c>
      <c r="AD353" s="191">
        <f>SUBTOTAL(9,AD354:AD357)</f>
        <v>0</v>
      </c>
      <c r="AE353" s="190" t="s">
        <v>2586</v>
      </c>
      <c r="AF353" s="191">
        <f>SUBTOTAL(9,AF354:AF357)</f>
        <v>0</v>
      </c>
      <c r="AG353" s="190" t="s">
        <v>2586</v>
      </c>
      <c r="AH353" s="191">
        <f>SUBTOTAL(9,AH354:AH357)</f>
        <v>0</v>
      </c>
    </row>
    <row r="354" spans="2:34" ht="16.5" outlineLevel="1" x14ac:dyDescent="0.25">
      <c r="B354" s="175" t="s">
        <v>2796</v>
      </c>
      <c r="C354" s="176">
        <v>1.87</v>
      </c>
      <c r="D354" s="176">
        <v>5.7</v>
      </c>
      <c r="E354" s="194">
        <v>3</v>
      </c>
      <c r="F354" s="194">
        <v>2.1</v>
      </c>
      <c r="G354" s="194">
        <f>E354-F354</f>
        <v>0.89999999999999991</v>
      </c>
      <c r="H354" s="176"/>
      <c r="I354" s="178" t="str">
        <f>IF($E354&gt;0,"X"," ")</f>
        <v>X</v>
      </c>
      <c r="J354" s="176">
        <f>IF(I354="X",($D354-H354)*E354,0)</f>
        <v>17.100000000000001</v>
      </c>
      <c r="K354" s="178" t="str">
        <f>IF($F354&gt;0,"X"," ")</f>
        <v>X</v>
      </c>
      <c r="L354" s="176">
        <f>IF(K354="X",($D354-H354)*F354,0)</f>
        <v>11.97</v>
      </c>
      <c r="M354" s="178" t="str">
        <f>IF($E354&gt;0,"X"," ")</f>
        <v>X</v>
      </c>
      <c r="N354" s="177">
        <f>IF(M354="X",J354-L354,0)</f>
        <v>5.1300000000000008</v>
      </c>
      <c r="O354" s="178" t="str">
        <f>IF($F354&gt;0,"X"," ")</f>
        <v>X</v>
      </c>
      <c r="P354" s="176">
        <f>IF(L354&gt;0,L354,0)</f>
        <v>11.97</v>
      </c>
      <c r="Q354" s="178" t="s">
        <v>0</v>
      </c>
      <c r="R354" s="176"/>
      <c r="S354" s="178" t="s">
        <v>2578</v>
      </c>
      <c r="T354" s="178" t="str">
        <f>IF($S354="ACRÍLICA","X"," ")</f>
        <v>X</v>
      </c>
      <c r="U354" s="176">
        <f>IF(T354="X",$N354,0)</f>
        <v>5.1300000000000008</v>
      </c>
      <c r="V354" s="178" t="str">
        <f>IF($S354="EPÓXI","X"," ")</f>
        <v xml:space="preserve"> </v>
      </c>
      <c r="W354" s="176">
        <f>IF(V354="X",$N354,0)</f>
        <v>0</v>
      </c>
      <c r="X354" s="178" t="str">
        <f>IF($S354="TEXTURA","X"," ")</f>
        <v xml:space="preserve"> </v>
      </c>
      <c r="Y354" s="176">
        <f>IF(X354="X",$N354,0)</f>
        <v>0</v>
      </c>
      <c r="Z354" s="178" t="s">
        <v>2581</v>
      </c>
      <c r="AA354" s="178" t="str">
        <f>IF($Z354="ACARTONADO","X"," ")</f>
        <v>X</v>
      </c>
      <c r="AB354" s="176">
        <f>IF(AA354="X",$C354,0)</f>
        <v>1.87</v>
      </c>
      <c r="AC354" s="178" t="str">
        <f>IF($Z354="MINERAL","X"," ")</f>
        <v xml:space="preserve"> </v>
      </c>
      <c r="AD354" s="176">
        <f>IF(AC354="X",$C354,0)</f>
        <v>0</v>
      </c>
      <c r="AE354" s="178" t="str">
        <f>IF($Z354="LAJE","X"," ")</f>
        <v xml:space="preserve"> </v>
      </c>
      <c r="AF354" s="176">
        <f>IF(AE354="X",$C354,0)</f>
        <v>0</v>
      </c>
      <c r="AG354" s="178" t="str">
        <f>IF(K354="X","","X")</f>
        <v/>
      </c>
      <c r="AH354" s="176">
        <f>IF(AG354="X",$D354-H354,0)</f>
        <v>0</v>
      </c>
    </row>
    <row r="355" spans="2:34" ht="16.5" outlineLevel="1" x14ac:dyDescent="0.25">
      <c r="B355" s="175" t="s">
        <v>2797</v>
      </c>
      <c r="C355" s="176">
        <v>2.74</v>
      </c>
      <c r="D355" s="176">
        <v>6.76</v>
      </c>
      <c r="E355" s="194">
        <v>3</v>
      </c>
      <c r="F355" s="194">
        <v>3</v>
      </c>
      <c r="G355" s="194">
        <f>E355-F355</f>
        <v>0</v>
      </c>
      <c r="H355" s="176">
        <v>1.25</v>
      </c>
      <c r="I355" s="178" t="str">
        <f>IF($E355&gt;0,"X"," ")</f>
        <v>X</v>
      </c>
      <c r="J355" s="176">
        <f>IF(I355="X",($D355-H355)*E355,0)</f>
        <v>16.53</v>
      </c>
      <c r="K355" s="178" t="str">
        <f>IF($F355&gt;0,"X"," ")</f>
        <v>X</v>
      </c>
      <c r="L355" s="176">
        <f>IF(K355="X",($D355-H355)*F355,0)</f>
        <v>16.53</v>
      </c>
      <c r="M355" s="178" t="str">
        <f>IF($E355&gt;0,"X"," ")</f>
        <v>X</v>
      </c>
      <c r="N355" s="177">
        <f>IF(M355="X",J355-L355,0)</f>
        <v>0</v>
      </c>
      <c r="O355" s="178" t="str">
        <f>IF($F355&gt;0,"X"," ")</f>
        <v>X</v>
      </c>
      <c r="P355" s="176">
        <f>IF(L355&gt;0,L355,0)</f>
        <v>16.53</v>
      </c>
      <c r="Q355" s="178" t="s">
        <v>0</v>
      </c>
      <c r="R355" s="176"/>
      <c r="S355" s="178" t="s">
        <v>2623</v>
      </c>
      <c r="T355" s="178" t="str">
        <f>IF($S355="ACRÍLICA","X"," ")</f>
        <v xml:space="preserve"> </v>
      </c>
      <c r="U355" s="176">
        <f>IF(T355="X",$N355,0)</f>
        <v>0</v>
      </c>
      <c r="V355" s="178" t="str">
        <f>IF($S355="EPÓXI","X"," ")</f>
        <v xml:space="preserve"> </v>
      </c>
      <c r="W355" s="176">
        <f>IF(V355="X",$N355,0)</f>
        <v>0</v>
      </c>
      <c r="X355" s="178" t="str">
        <f>IF($S355="TEXTURA","X"," ")</f>
        <v xml:space="preserve"> </v>
      </c>
      <c r="Y355" s="176">
        <f>IF(X355="X",$N355,0)</f>
        <v>0</v>
      </c>
      <c r="Z355" s="178" t="s">
        <v>2581</v>
      </c>
      <c r="AA355" s="178" t="str">
        <f>IF($Z355="ACARTONADO","X"," ")</f>
        <v>X</v>
      </c>
      <c r="AB355" s="176">
        <f>IF(AA355="X",$C355,0)</f>
        <v>2.74</v>
      </c>
      <c r="AC355" s="178" t="str">
        <f>IF($Z355="MINERAL","X"," ")</f>
        <v xml:space="preserve"> </v>
      </c>
      <c r="AD355" s="176">
        <f>IF(AC355="X",$C355,0)</f>
        <v>0</v>
      </c>
      <c r="AE355" s="178" t="str">
        <f>IF($Z355="LAJE","X"," ")</f>
        <v xml:space="preserve"> </v>
      </c>
      <c r="AF355" s="176">
        <f>IF(AE355="X",$C355,0)</f>
        <v>0</v>
      </c>
      <c r="AG355" s="178" t="str">
        <f>IF(K355="X","","X")</f>
        <v/>
      </c>
      <c r="AH355" s="176">
        <f>IF(AG355="X",$D355-H355,0)</f>
        <v>0</v>
      </c>
    </row>
    <row r="356" spans="2:34" ht="16.5" outlineLevel="1" x14ac:dyDescent="0.25">
      <c r="B356" s="175" t="s">
        <v>2798</v>
      </c>
      <c r="C356" s="176">
        <v>3.98</v>
      </c>
      <c r="D356" s="176">
        <v>8.0500000000000007</v>
      </c>
      <c r="E356" s="194">
        <v>3</v>
      </c>
      <c r="F356" s="194">
        <v>3</v>
      </c>
      <c r="G356" s="194">
        <f>E356-F356</f>
        <v>0</v>
      </c>
      <c r="H356" s="176">
        <v>1.77</v>
      </c>
      <c r="I356" s="178" t="str">
        <f>IF($E356&gt;0,"X"," ")</f>
        <v>X</v>
      </c>
      <c r="J356" s="176">
        <f>IF(I356="X",($D356-H356)*E356,0)</f>
        <v>18.840000000000003</v>
      </c>
      <c r="K356" s="178" t="str">
        <f>IF($F356&gt;0,"X"," ")</f>
        <v>X</v>
      </c>
      <c r="L356" s="176">
        <f>IF(K356="X",($D356-H356)*F356,0)</f>
        <v>18.840000000000003</v>
      </c>
      <c r="M356" s="178" t="str">
        <f>IF($E356&gt;0,"X"," ")</f>
        <v>X</v>
      </c>
      <c r="N356" s="177">
        <f>IF(M356="X",J356-L356,0)</f>
        <v>0</v>
      </c>
      <c r="O356" s="178" t="str">
        <f>IF($F356&gt;0,"X"," ")</f>
        <v>X</v>
      </c>
      <c r="P356" s="176">
        <f>IF(L356&gt;0,L356,0)</f>
        <v>18.840000000000003</v>
      </c>
      <c r="Q356" s="178" t="s">
        <v>0</v>
      </c>
      <c r="R356" s="176"/>
      <c r="S356" s="178" t="s">
        <v>2623</v>
      </c>
      <c r="T356" s="178" t="str">
        <f>IF($S356="ACRÍLICA","X"," ")</f>
        <v xml:space="preserve"> </v>
      </c>
      <c r="U356" s="176">
        <f>IF(T356="X",$N356,0)</f>
        <v>0</v>
      </c>
      <c r="V356" s="178" t="str">
        <f>IF($S356="EPÓXI","X"," ")</f>
        <v xml:space="preserve"> </v>
      </c>
      <c r="W356" s="176">
        <f>IF(V356="X",$N356,0)</f>
        <v>0</v>
      </c>
      <c r="X356" s="178" t="str">
        <f>IF($S356="TEXTURA","X"," ")</f>
        <v xml:space="preserve"> </v>
      </c>
      <c r="Y356" s="176">
        <f>IF(X356="X",$N356,0)</f>
        <v>0</v>
      </c>
      <c r="Z356" s="178" t="s">
        <v>2581</v>
      </c>
      <c r="AA356" s="178" t="str">
        <f>IF($Z356="ACARTONADO","X"," ")</f>
        <v>X</v>
      </c>
      <c r="AB356" s="176">
        <f>IF(AA356="X",$C356,0)</f>
        <v>3.98</v>
      </c>
      <c r="AC356" s="178" t="str">
        <f>IF($Z356="MINERAL","X"," ")</f>
        <v xml:space="preserve"> </v>
      </c>
      <c r="AD356" s="176">
        <f>IF(AC356="X",$C356,0)</f>
        <v>0</v>
      </c>
      <c r="AE356" s="178" t="str">
        <f>IF($Z356="LAJE","X"," ")</f>
        <v xml:space="preserve"> </v>
      </c>
      <c r="AF356" s="176">
        <f>IF(AE356="X",$C356,0)</f>
        <v>0</v>
      </c>
      <c r="AG356" s="178" t="str">
        <f>IF(K356="X","","X")</f>
        <v/>
      </c>
      <c r="AH356" s="176">
        <f>IF(AG356="X",$D356-H356,0)</f>
        <v>0</v>
      </c>
    </row>
    <row r="357" spans="2:34" ht="16.5" outlineLevel="1" x14ac:dyDescent="0.25">
      <c r="B357" s="175"/>
      <c r="C357" s="176"/>
      <c r="D357" s="176"/>
      <c r="E357" s="176"/>
      <c r="F357" s="176"/>
      <c r="G357" s="176"/>
      <c r="H357" s="176"/>
      <c r="I357" s="178" t="str">
        <f>IF($E357&gt;0,"X"," ")</f>
        <v xml:space="preserve"> </v>
      </c>
      <c r="J357" s="176">
        <f>IF(I357="X",($D357-H357)*E357,0)</f>
        <v>0</v>
      </c>
      <c r="K357" s="178" t="str">
        <f>IF($F357&gt;0,"X"," ")</f>
        <v xml:space="preserve"> </v>
      </c>
      <c r="L357" s="176">
        <f>IF(K357="X",($D357-H357)*F357,0)</f>
        <v>0</v>
      </c>
      <c r="M357" s="178" t="str">
        <f>IF($E357&gt;0,"X"," ")</f>
        <v xml:space="preserve"> </v>
      </c>
      <c r="N357" s="177">
        <f>IF(M357="X",J357-L357,0)</f>
        <v>0</v>
      </c>
      <c r="O357" s="178" t="str">
        <f>IF($F357&gt;0,"X"," ")</f>
        <v xml:space="preserve"> </v>
      </c>
      <c r="P357" s="176">
        <f>IF(L357&gt;0,L357,0)</f>
        <v>0</v>
      </c>
      <c r="Q357" s="178" t="s">
        <v>0</v>
      </c>
      <c r="R357" s="176"/>
      <c r="S357" s="176"/>
      <c r="T357" s="178"/>
      <c r="U357" s="176"/>
      <c r="V357" s="178"/>
      <c r="W357" s="176"/>
      <c r="X357" s="178"/>
      <c r="Y357" s="176"/>
      <c r="Z357" s="176"/>
      <c r="AA357" s="178"/>
      <c r="AB357" s="176"/>
      <c r="AC357" s="178"/>
      <c r="AD357" s="176"/>
      <c r="AE357" s="178"/>
      <c r="AF357" s="176"/>
      <c r="AG357" s="178" t="str">
        <f>IF(K357="X","","X")</f>
        <v>X</v>
      </c>
      <c r="AH357" s="176">
        <f>IF(AG357="X",$D357-H357,0)</f>
        <v>0</v>
      </c>
    </row>
    <row r="358" spans="2:34" ht="16.5" x14ac:dyDescent="0.25">
      <c r="B358" s="182"/>
      <c r="C358" s="185"/>
      <c r="D358" s="185"/>
      <c r="E358" s="185"/>
      <c r="F358" s="185"/>
      <c r="G358" s="185"/>
      <c r="H358" s="185"/>
      <c r="I358" s="184"/>
      <c r="J358" s="185"/>
      <c r="K358" s="184"/>
      <c r="L358" s="185"/>
      <c r="M358" s="184"/>
      <c r="N358" s="185"/>
      <c r="O358" s="201"/>
      <c r="P358" s="185"/>
      <c r="Q358" s="184"/>
      <c r="R358" s="189"/>
      <c r="S358" s="185"/>
      <c r="T358" s="184"/>
      <c r="U358" s="185"/>
      <c r="V358" s="184"/>
      <c r="W358" s="185"/>
      <c r="X358" s="184"/>
      <c r="Y358" s="189"/>
      <c r="Z358" s="185"/>
      <c r="AA358" s="184"/>
      <c r="AB358" s="185"/>
      <c r="AC358" s="184"/>
      <c r="AD358" s="185"/>
      <c r="AE358" s="184"/>
      <c r="AF358" s="189"/>
      <c r="AG358" s="184"/>
      <c r="AH358" s="189"/>
    </row>
    <row r="359" spans="2:34" ht="16.5" x14ac:dyDescent="0.25">
      <c r="B359" s="195" t="s">
        <v>193</v>
      </c>
      <c r="C359" s="198"/>
      <c r="D359" s="198"/>
      <c r="E359" s="198"/>
      <c r="F359" s="198"/>
      <c r="G359" s="198"/>
      <c r="H359" s="198"/>
      <c r="I359" s="198"/>
      <c r="J359" s="198"/>
      <c r="K359" s="198"/>
      <c r="L359" s="198"/>
      <c r="M359" s="198"/>
      <c r="N359" s="198"/>
      <c r="O359" s="198"/>
      <c r="P359" s="198"/>
      <c r="Q359" s="198"/>
      <c r="R359" s="199"/>
      <c r="S359" s="198"/>
      <c r="T359" s="198"/>
      <c r="U359" s="198"/>
      <c r="V359" s="198"/>
      <c r="W359" s="198"/>
      <c r="X359" s="198"/>
      <c r="Y359" s="199"/>
      <c r="Z359" s="198"/>
      <c r="AA359" s="198"/>
      <c r="AB359" s="198"/>
      <c r="AC359" s="198"/>
      <c r="AD359" s="198"/>
      <c r="AE359" s="198"/>
      <c r="AF359" s="199"/>
      <c r="AG359" s="198"/>
      <c r="AH359" s="199"/>
    </row>
    <row r="360" spans="2:34" ht="16.5" x14ac:dyDescent="0.25">
      <c r="B360" s="929" t="s">
        <v>2543</v>
      </c>
      <c r="C360" s="930"/>
      <c r="D360" s="930"/>
      <c r="E360" s="930"/>
      <c r="F360" s="930"/>
      <c r="G360" s="930"/>
      <c r="H360" s="931"/>
      <c r="I360" s="190" t="s">
        <v>2586</v>
      </c>
      <c r="J360" s="191">
        <f>SUBTOTAL(9,J361:J374)</f>
        <v>653.49</v>
      </c>
      <c r="K360" s="192" t="s">
        <v>2586</v>
      </c>
      <c r="L360" s="191">
        <f>SUBTOTAL(9,L361:L374)</f>
        <v>306.74100000000004</v>
      </c>
      <c r="M360" s="190" t="s">
        <v>2586</v>
      </c>
      <c r="N360" s="200">
        <f>SUBTOTAL(9,N361:N374)</f>
        <v>346.74900000000002</v>
      </c>
      <c r="O360" s="190" t="s">
        <v>2586</v>
      </c>
      <c r="P360" s="191">
        <f>SUBTOTAL(9,P361:P374)</f>
        <v>306.74100000000004</v>
      </c>
      <c r="Q360" s="190" t="s">
        <v>2586</v>
      </c>
      <c r="R360" s="191">
        <f>SUBTOTAL(9,R361:R374)</f>
        <v>0</v>
      </c>
      <c r="S360" s="191"/>
      <c r="T360" s="190" t="s">
        <v>2586</v>
      </c>
      <c r="U360" s="200">
        <f>SUBTOTAL(9,U361:U374)</f>
        <v>346.74900000000002</v>
      </c>
      <c r="V360" s="190" t="s">
        <v>2586</v>
      </c>
      <c r="W360" s="191">
        <f>SUBTOTAL(9,W361:W374)</f>
        <v>0</v>
      </c>
      <c r="X360" s="190" t="s">
        <v>2586</v>
      </c>
      <c r="Y360" s="191">
        <f>SUBTOTAL(9,Y361:Y374)</f>
        <v>0</v>
      </c>
      <c r="Z360" s="191"/>
      <c r="AA360" s="190" t="s">
        <v>2586</v>
      </c>
      <c r="AB360" s="200">
        <f>SUBTOTAL(9,AB361:AB374)</f>
        <v>232.84000000000003</v>
      </c>
      <c r="AC360" s="190" t="s">
        <v>2586</v>
      </c>
      <c r="AD360" s="191">
        <f>SUBTOTAL(9,AD361:AD374)</f>
        <v>32.14</v>
      </c>
      <c r="AE360" s="190" t="s">
        <v>2586</v>
      </c>
      <c r="AF360" s="191">
        <f>SUBTOTAL(9,AF361:AF374)</f>
        <v>0</v>
      </c>
      <c r="AG360" s="190" t="s">
        <v>2586</v>
      </c>
      <c r="AH360" s="191">
        <f>SUBTOTAL(9,AH361:AH374)</f>
        <v>102.83000000000001</v>
      </c>
    </row>
    <row r="361" spans="2:34" ht="16.5" outlineLevel="1" x14ac:dyDescent="0.25">
      <c r="B361" s="175" t="s">
        <v>2799</v>
      </c>
      <c r="C361" s="176">
        <v>3</v>
      </c>
      <c r="D361" s="176">
        <v>7.99</v>
      </c>
      <c r="E361" s="194">
        <v>3</v>
      </c>
      <c r="F361" s="194">
        <v>3</v>
      </c>
      <c r="G361" s="194">
        <f>E361-F361</f>
        <v>0</v>
      </c>
      <c r="H361" s="176"/>
      <c r="I361" s="178" t="str">
        <f t="shared" ref="I361:I374" si="277">IF($E361&gt;0,"X"," ")</f>
        <v>X</v>
      </c>
      <c r="J361" s="176">
        <f t="shared" ref="J361:J368" si="278">IF(I361="X",($D361-H361)*E361,0)</f>
        <v>23.97</v>
      </c>
      <c r="K361" s="178" t="str">
        <f t="shared" ref="K361:K374" si="279">IF($F361&gt;0,"X"," ")</f>
        <v>X</v>
      </c>
      <c r="L361" s="176">
        <f t="shared" ref="L361:L368" si="280">IF(K361="X",($D361-H361)*F361,0)</f>
        <v>23.97</v>
      </c>
      <c r="M361" s="178" t="str">
        <f t="shared" ref="M361:M374" si="281">IF($E361&gt;0,"X"," ")</f>
        <v>X</v>
      </c>
      <c r="N361" s="177">
        <f t="shared" ref="N361:N368" si="282">IF(M361="X",J361-L361,0)</f>
        <v>0</v>
      </c>
      <c r="O361" s="178" t="str">
        <f t="shared" ref="O361:O374" si="283">IF($F361&gt;0,"X"," ")</f>
        <v>X</v>
      </c>
      <c r="P361" s="176">
        <f t="shared" ref="P361:P368" si="284">IF(L361&gt;0,L361,0)</f>
        <v>23.97</v>
      </c>
      <c r="Q361" s="178" t="s">
        <v>0</v>
      </c>
      <c r="R361" s="176"/>
      <c r="S361" s="178" t="s">
        <v>2623</v>
      </c>
      <c r="T361" s="178" t="str">
        <f t="shared" ref="T361:T374" si="285">IF($S361="ACRÍLICA","X"," ")</f>
        <v xml:space="preserve"> </v>
      </c>
      <c r="U361" s="176">
        <f>IF(T361="X",$N361,0)</f>
        <v>0</v>
      </c>
      <c r="V361" s="178" t="str">
        <f t="shared" ref="V361:V374" si="286">IF($S361="EPÓXI","X"," ")</f>
        <v xml:space="preserve"> </v>
      </c>
      <c r="W361" s="176">
        <f>IF(V361="X",$N361,0)</f>
        <v>0</v>
      </c>
      <c r="X361" s="178" t="str">
        <f t="shared" ref="X361:X374" si="287">IF($S361="TEXTURA","X"," ")</f>
        <v xml:space="preserve"> </v>
      </c>
      <c r="Y361" s="176">
        <f>IF(X361="X",$N361,0)</f>
        <v>0</v>
      </c>
      <c r="Z361" s="178" t="s">
        <v>2581</v>
      </c>
      <c r="AA361" s="178" t="str">
        <f t="shared" ref="AA361:AA374" si="288">IF($Z361="ACARTONADO","X"," ")</f>
        <v>X</v>
      </c>
      <c r="AB361" s="176">
        <f t="shared" ref="AB361:AB374" si="289">IF(AA361="X",$C361,0)</f>
        <v>3</v>
      </c>
      <c r="AC361" s="178" t="str">
        <f t="shared" ref="AC361:AC374" si="290">IF($Z361="MINERAL","X"," ")</f>
        <v xml:space="preserve"> </v>
      </c>
      <c r="AD361" s="176">
        <f t="shared" ref="AD361:AD374" si="291">IF(AC361="X",$C361,0)</f>
        <v>0</v>
      </c>
      <c r="AE361" s="178" t="str">
        <f t="shared" ref="AE361:AE374" si="292">IF($Z361="LAJE","X"," ")</f>
        <v xml:space="preserve"> </v>
      </c>
      <c r="AF361" s="176">
        <f t="shared" ref="AF361:AF374" si="293">IF(AE361="X",$C361,0)</f>
        <v>0</v>
      </c>
      <c r="AG361" s="178" t="str">
        <f t="shared" ref="AG361:AG374" si="294">IF(K361="X","","X")</f>
        <v/>
      </c>
      <c r="AH361" s="176">
        <f t="shared" ref="AH361:AH374" si="295">IF(AG361="X",$D361-H361,0)</f>
        <v>0</v>
      </c>
    </row>
    <row r="362" spans="2:34" ht="16.5" outlineLevel="1" x14ac:dyDescent="0.25">
      <c r="B362" s="175" t="s">
        <v>2800</v>
      </c>
      <c r="C362" s="176">
        <v>1.51</v>
      </c>
      <c r="D362" s="176">
        <v>5</v>
      </c>
      <c r="E362" s="194">
        <v>3</v>
      </c>
      <c r="F362" s="194">
        <v>3</v>
      </c>
      <c r="G362" s="194">
        <f t="shared" ref="G362:G374" si="296">E362-F362</f>
        <v>0</v>
      </c>
      <c r="H362" s="176"/>
      <c r="I362" s="178" t="str">
        <f t="shared" si="277"/>
        <v>X</v>
      </c>
      <c r="J362" s="176">
        <f t="shared" si="278"/>
        <v>15</v>
      </c>
      <c r="K362" s="178" t="str">
        <f t="shared" si="279"/>
        <v>X</v>
      </c>
      <c r="L362" s="176">
        <f t="shared" si="280"/>
        <v>15</v>
      </c>
      <c r="M362" s="178" t="str">
        <f t="shared" si="281"/>
        <v>X</v>
      </c>
      <c r="N362" s="177">
        <f t="shared" si="282"/>
        <v>0</v>
      </c>
      <c r="O362" s="178" t="str">
        <f t="shared" si="283"/>
        <v>X</v>
      </c>
      <c r="P362" s="176">
        <f t="shared" si="284"/>
        <v>15</v>
      </c>
      <c r="Q362" s="178" t="s">
        <v>0</v>
      </c>
      <c r="R362" s="176"/>
      <c r="S362" s="178" t="s">
        <v>2623</v>
      </c>
      <c r="T362" s="178" t="str">
        <f t="shared" si="285"/>
        <v xml:space="preserve"> </v>
      </c>
      <c r="U362" s="176">
        <f t="shared" ref="U362:U374" si="297">IF(T362="X",$N362,0)</f>
        <v>0</v>
      </c>
      <c r="V362" s="178" t="str">
        <f t="shared" si="286"/>
        <v xml:space="preserve"> </v>
      </c>
      <c r="W362" s="176">
        <f t="shared" ref="W362:W374" si="298">IF(V362="X",$N362,0)</f>
        <v>0</v>
      </c>
      <c r="X362" s="178" t="str">
        <f t="shared" si="287"/>
        <v xml:space="preserve"> </v>
      </c>
      <c r="Y362" s="176">
        <f t="shared" ref="Y362:Y374" si="299">IF(X362="X",$N362,0)</f>
        <v>0</v>
      </c>
      <c r="Z362" s="178" t="s">
        <v>2581</v>
      </c>
      <c r="AA362" s="178" t="str">
        <f t="shared" si="288"/>
        <v>X</v>
      </c>
      <c r="AB362" s="176">
        <f t="shared" si="289"/>
        <v>1.51</v>
      </c>
      <c r="AC362" s="178" t="str">
        <f t="shared" si="290"/>
        <v xml:space="preserve"> </v>
      </c>
      <c r="AD362" s="176">
        <f t="shared" si="291"/>
        <v>0</v>
      </c>
      <c r="AE362" s="178" t="str">
        <f t="shared" si="292"/>
        <v xml:space="preserve"> </v>
      </c>
      <c r="AF362" s="176">
        <f t="shared" si="293"/>
        <v>0</v>
      </c>
      <c r="AG362" s="178" t="str">
        <f t="shared" si="294"/>
        <v/>
      </c>
      <c r="AH362" s="176">
        <f t="shared" si="295"/>
        <v>0</v>
      </c>
    </row>
    <row r="363" spans="2:34" ht="16.5" outlineLevel="1" x14ac:dyDescent="0.25">
      <c r="B363" s="175" t="s">
        <v>2801</v>
      </c>
      <c r="C363" s="176">
        <v>43.61</v>
      </c>
      <c r="D363" s="176">
        <v>28.09</v>
      </c>
      <c r="E363" s="194">
        <v>3</v>
      </c>
      <c r="F363" s="194">
        <v>3</v>
      </c>
      <c r="G363" s="194">
        <f t="shared" si="296"/>
        <v>0</v>
      </c>
      <c r="H363" s="176"/>
      <c r="I363" s="178" t="str">
        <f t="shared" si="277"/>
        <v>X</v>
      </c>
      <c r="J363" s="176">
        <f t="shared" si="278"/>
        <v>84.27</v>
      </c>
      <c r="K363" s="178" t="str">
        <f t="shared" si="279"/>
        <v>X</v>
      </c>
      <c r="L363" s="176">
        <f t="shared" si="280"/>
        <v>84.27</v>
      </c>
      <c r="M363" s="178" t="str">
        <f t="shared" si="281"/>
        <v>X</v>
      </c>
      <c r="N363" s="177">
        <f t="shared" si="282"/>
        <v>0</v>
      </c>
      <c r="O363" s="178" t="str">
        <f t="shared" si="283"/>
        <v>X</v>
      </c>
      <c r="P363" s="176">
        <f t="shared" si="284"/>
        <v>84.27</v>
      </c>
      <c r="Q363" s="178" t="s">
        <v>0</v>
      </c>
      <c r="R363" s="176"/>
      <c r="S363" s="178" t="s">
        <v>2623</v>
      </c>
      <c r="T363" s="178" t="str">
        <f t="shared" si="285"/>
        <v xml:space="preserve"> </v>
      </c>
      <c r="U363" s="176">
        <f t="shared" si="297"/>
        <v>0</v>
      </c>
      <c r="V363" s="178" t="str">
        <f t="shared" si="286"/>
        <v xml:space="preserve"> </v>
      </c>
      <c r="W363" s="176">
        <f t="shared" si="298"/>
        <v>0</v>
      </c>
      <c r="X363" s="178" t="str">
        <f t="shared" si="287"/>
        <v xml:space="preserve"> </v>
      </c>
      <c r="Y363" s="176">
        <f t="shared" si="299"/>
        <v>0</v>
      </c>
      <c r="Z363" s="178" t="s">
        <v>2581</v>
      </c>
      <c r="AA363" s="178" t="str">
        <f t="shared" si="288"/>
        <v>X</v>
      </c>
      <c r="AB363" s="176">
        <f t="shared" si="289"/>
        <v>43.61</v>
      </c>
      <c r="AC363" s="178" t="str">
        <f t="shared" si="290"/>
        <v xml:space="preserve"> </v>
      </c>
      <c r="AD363" s="176">
        <f t="shared" si="291"/>
        <v>0</v>
      </c>
      <c r="AE363" s="178" t="str">
        <f t="shared" si="292"/>
        <v xml:space="preserve"> </v>
      </c>
      <c r="AF363" s="176">
        <f t="shared" si="293"/>
        <v>0</v>
      </c>
      <c r="AG363" s="178" t="str">
        <f t="shared" si="294"/>
        <v/>
      </c>
      <c r="AH363" s="176">
        <f t="shared" si="295"/>
        <v>0</v>
      </c>
    </row>
    <row r="364" spans="2:34" ht="16.5" outlineLevel="1" x14ac:dyDescent="0.25">
      <c r="B364" s="175" t="s">
        <v>2591</v>
      </c>
      <c r="C364" s="176">
        <v>2.74</v>
      </c>
      <c r="D364" s="176">
        <v>6.97</v>
      </c>
      <c r="E364" s="194">
        <v>3</v>
      </c>
      <c r="F364" s="194">
        <v>2.1</v>
      </c>
      <c r="G364" s="194">
        <f t="shared" si="296"/>
        <v>0.89999999999999991</v>
      </c>
      <c r="H364" s="176"/>
      <c r="I364" s="178" t="str">
        <f t="shared" si="277"/>
        <v>X</v>
      </c>
      <c r="J364" s="176">
        <f t="shared" si="278"/>
        <v>20.91</v>
      </c>
      <c r="K364" s="178" t="str">
        <f t="shared" si="279"/>
        <v>X</v>
      </c>
      <c r="L364" s="176">
        <f t="shared" si="280"/>
        <v>14.637</v>
      </c>
      <c r="M364" s="178" t="str">
        <f t="shared" si="281"/>
        <v>X</v>
      </c>
      <c r="N364" s="177">
        <f t="shared" si="282"/>
        <v>6.2729999999999997</v>
      </c>
      <c r="O364" s="178" t="str">
        <f t="shared" si="283"/>
        <v>X</v>
      </c>
      <c r="P364" s="176">
        <f t="shared" si="284"/>
        <v>14.637</v>
      </c>
      <c r="Q364" s="178" t="s">
        <v>0</v>
      </c>
      <c r="R364" s="176"/>
      <c r="S364" s="178" t="s">
        <v>2578</v>
      </c>
      <c r="T364" s="178" t="str">
        <f t="shared" si="285"/>
        <v>X</v>
      </c>
      <c r="U364" s="176">
        <f t="shared" si="297"/>
        <v>6.2729999999999997</v>
      </c>
      <c r="V364" s="178" t="str">
        <f t="shared" si="286"/>
        <v xml:space="preserve"> </v>
      </c>
      <c r="W364" s="176">
        <f t="shared" si="298"/>
        <v>0</v>
      </c>
      <c r="X364" s="178" t="str">
        <f t="shared" si="287"/>
        <v xml:space="preserve"> </v>
      </c>
      <c r="Y364" s="176">
        <f t="shared" si="299"/>
        <v>0</v>
      </c>
      <c r="Z364" s="178" t="s">
        <v>2581</v>
      </c>
      <c r="AA364" s="178" t="str">
        <f t="shared" si="288"/>
        <v>X</v>
      </c>
      <c r="AB364" s="176">
        <f t="shared" si="289"/>
        <v>2.74</v>
      </c>
      <c r="AC364" s="178" t="str">
        <f t="shared" si="290"/>
        <v xml:space="preserve"> </v>
      </c>
      <c r="AD364" s="176">
        <f t="shared" si="291"/>
        <v>0</v>
      </c>
      <c r="AE364" s="178" t="str">
        <f t="shared" si="292"/>
        <v xml:space="preserve"> </v>
      </c>
      <c r="AF364" s="176">
        <f t="shared" si="293"/>
        <v>0</v>
      </c>
      <c r="AG364" s="178" t="str">
        <f t="shared" si="294"/>
        <v/>
      </c>
      <c r="AH364" s="176">
        <f t="shared" si="295"/>
        <v>0</v>
      </c>
    </row>
    <row r="365" spans="2:34" ht="16.5" outlineLevel="1" x14ac:dyDescent="0.25">
      <c r="B365" s="175" t="s">
        <v>2678</v>
      </c>
      <c r="C365" s="176">
        <v>2.52</v>
      </c>
      <c r="D365" s="176">
        <v>6.78</v>
      </c>
      <c r="E365" s="194">
        <v>3</v>
      </c>
      <c r="F365" s="194">
        <v>2.1</v>
      </c>
      <c r="G365" s="194">
        <f t="shared" si="296"/>
        <v>0.89999999999999991</v>
      </c>
      <c r="H365" s="176"/>
      <c r="I365" s="178" t="str">
        <f t="shared" si="277"/>
        <v>X</v>
      </c>
      <c r="J365" s="176">
        <f t="shared" si="278"/>
        <v>20.34</v>
      </c>
      <c r="K365" s="178" t="str">
        <f t="shared" si="279"/>
        <v>X</v>
      </c>
      <c r="L365" s="176">
        <f t="shared" si="280"/>
        <v>14.238000000000001</v>
      </c>
      <c r="M365" s="178" t="str">
        <f t="shared" si="281"/>
        <v>X</v>
      </c>
      <c r="N365" s="177">
        <f t="shared" si="282"/>
        <v>6.1019999999999985</v>
      </c>
      <c r="O365" s="178" t="str">
        <f t="shared" si="283"/>
        <v>X</v>
      </c>
      <c r="P365" s="176">
        <f t="shared" si="284"/>
        <v>14.238000000000001</v>
      </c>
      <c r="Q365" s="178" t="s">
        <v>0</v>
      </c>
      <c r="R365" s="176"/>
      <c r="S365" s="178" t="s">
        <v>2578</v>
      </c>
      <c r="T365" s="178" t="str">
        <f t="shared" si="285"/>
        <v>X</v>
      </c>
      <c r="U365" s="176">
        <f t="shared" si="297"/>
        <v>6.1019999999999985</v>
      </c>
      <c r="V365" s="178" t="str">
        <f t="shared" si="286"/>
        <v xml:space="preserve"> </v>
      </c>
      <c r="W365" s="176">
        <f t="shared" si="298"/>
        <v>0</v>
      </c>
      <c r="X365" s="178" t="str">
        <f t="shared" si="287"/>
        <v xml:space="preserve"> </v>
      </c>
      <c r="Y365" s="176">
        <f t="shared" si="299"/>
        <v>0</v>
      </c>
      <c r="Z365" s="178" t="s">
        <v>2581</v>
      </c>
      <c r="AA365" s="178" t="str">
        <f t="shared" si="288"/>
        <v>X</v>
      </c>
      <c r="AB365" s="176">
        <f t="shared" si="289"/>
        <v>2.52</v>
      </c>
      <c r="AC365" s="178" t="str">
        <f t="shared" si="290"/>
        <v xml:space="preserve"> </v>
      </c>
      <c r="AD365" s="176">
        <f t="shared" si="291"/>
        <v>0</v>
      </c>
      <c r="AE365" s="178" t="str">
        <f t="shared" si="292"/>
        <v xml:space="preserve"> </v>
      </c>
      <c r="AF365" s="176">
        <f t="shared" si="293"/>
        <v>0</v>
      </c>
      <c r="AG365" s="178" t="str">
        <f t="shared" si="294"/>
        <v/>
      </c>
      <c r="AH365" s="176">
        <f t="shared" si="295"/>
        <v>0</v>
      </c>
    </row>
    <row r="366" spans="2:34" ht="16.5" outlineLevel="1" x14ac:dyDescent="0.25">
      <c r="B366" s="175" t="s">
        <v>2802</v>
      </c>
      <c r="C366" s="176">
        <v>2.86</v>
      </c>
      <c r="D366" s="176">
        <v>7.08</v>
      </c>
      <c r="E366" s="194">
        <v>3</v>
      </c>
      <c r="F366" s="194">
        <v>2.1</v>
      </c>
      <c r="G366" s="194">
        <f t="shared" si="296"/>
        <v>0.89999999999999991</v>
      </c>
      <c r="H366" s="176"/>
      <c r="I366" s="178" t="str">
        <f t="shared" si="277"/>
        <v>X</v>
      </c>
      <c r="J366" s="176">
        <f t="shared" si="278"/>
        <v>21.240000000000002</v>
      </c>
      <c r="K366" s="178" t="str">
        <f t="shared" si="279"/>
        <v>X</v>
      </c>
      <c r="L366" s="176">
        <f t="shared" si="280"/>
        <v>14.868</v>
      </c>
      <c r="M366" s="178" t="str">
        <f t="shared" si="281"/>
        <v>X</v>
      </c>
      <c r="N366" s="177">
        <f t="shared" si="282"/>
        <v>6.3720000000000017</v>
      </c>
      <c r="O366" s="178" t="str">
        <f t="shared" si="283"/>
        <v>X</v>
      </c>
      <c r="P366" s="176">
        <f t="shared" si="284"/>
        <v>14.868</v>
      </c>
      <c r="Q366" s="178" t="s">
        <v>0</v>
      </c>
      <c r="R366" s="176"/>
      <c r="S366" s="178" t="s">
        <v>2578</v>
      </c>
      <c r="T366" s="178" t="str">
        <f t="shared" si="285"/>
        <v>X</v>
      </c>
      <c r="U366" s="176">
        <f t="shared" si="297"/>
        <v>6.3720000000000017</v>
      </c>
      <c r="V366" s="178" t="str">
        <f t="shared" si="286"/>
        <v xml:space="preserve"> </v>
      </c>
      <c r="W366" s="176">
        <f t="shared" si="298"/>
        <v>0</v>
      </c>
      <c r="X366" s="178" t="str">
        <f t="shared" si="287"/>
        <v xml:space="preserve"> </v>
      </c>
      <c r="Y366" s="176">
        <f t="shared" si="299"/>
        <v>0</v>
      </c>
      <c r="Z366" s="178" t="s">
        <v>2581</v>
      </c>
      <c r="AA366" s="178" t="str">
        <f t="shared" si="288"/>
        <v>X</v>
      </c>
      <c r="AB366" s="176">
        <f t="shared" si="289"/>
        <v>2.86</v>
      </c>
      <c r="AC366" s="178" t="str">
        <f t="shared" si="290"/>
        <v xml:space="preserve"> </v>
      </c>
      <c r="AD366" s="176">
        <f t="shared" si="291"/>
        <v>0</v>
      </c>
      <c r="AE366" s="178" t="str">
        <f t="shared" si="292"/>
        <v xml:space="preserve"> </v>
      </c>
      <c r="AF366" s="176">
        <f t="shared" si="293"/>
        <v>0</v>
      </c>
      <c r="AG366" s="178" t="str">
        <f t="shared" si="294"/>
        <v/>
      </c>
      <c r="AH366" s="176">
        <f t="shared" si="295"/>
        <v>0</v>
      </c>
    </row>
    <row r="367" spans="2:34" ht="16.5" outlineLevel="1" x14ac:dyDescent="0.25">
      <c r="B367" s="175" t="s">
        <v>2660</v>
      </c>
      <c r="C367" s="176">
        <v>2.67</v>
      </c>
      <c r="D367" s="176">
        <v>7.14</v>
      </c>
      <c r="E367" s="194">
        <v>3</v>
      </c>
      <c r="F367" s="194">
        <v>2.1</v>
      </c>
      <c r="G367" s="194">
        <f t="shared" si="296"/>
        <v>0.89999999999999991</v>
      </c>
      <c r="H367" s="176"/>
      <c r="I367" s="178" t="str">
        <f t="shared" si="277"/>
        <v>X</v>
      </c>
      <c r="J367" s="176">
        <f t="shared" si="278"/>
        <v>21.419999999999998</v>
      </c>
      <c r="K367" s="178" t="str">
        <f t="shared" si="279"/>
        <v>X</v>
      </c>
      <c r="L367" s="176">
        <f t="shared" si="280"/>
        <v>14.994</v>
      </c>
      <c r="M367" s="178" t="str">
        <f t="shared" si="281"/>
        <v>X</v>
      </c>
      <c r="N367" s="177">
        <f t="shared" si="282"/>
        <v>6.4259999999999984</v>
      </c>
      <c r="O367" s="178" t="str">
        <f t="shared" si="283"/>
        <v>X</v>
      </c>
      <c r="P367" s="176">
        <f t="shared" si="284"/>
        <v>14.994</v>
      </c>
      <c r="Q367" s="178" t="s">
        <v>0</v>
      </c>
      <c r="R367" s="176"/>
      <c r="S367" s="178" t="s">
        <v>2578</v>
      </c>
      <c r="T367" s="178" t="str">
        <f t="shared" si="285"/>
        <v>X</v>
      </c>
      <c r="U367" s="176">
        <f t="shared" si="297"/>
        <v>6.4259999999999984</v>
      </c>
      <c r="V367" s="178" t="str">
        <f t="shared" si="286"/>
        <v xml:space="preserve"> </v>
      </c>
      <c r="W367" s="176">
        <f t="shared" si="298"/>
        <v>0</v>
      </c>
      <c r="X367" s="178" t="str">
        <f t="shared" si="287"/>
        <v xml:space="preserve"> </v>
      </c>
      <c r="Y367" s="176">
        <f t="shared" si="299"/>
        <v>0</v>
      </c>
      <c r="Z367" s="178" t="s">
        <v>2581</v>
      </c>
      <c r="AA367" s="178" t="str">
        <f t="shared" si="288"/>
        <v>X</v>
      </c>
      <c r="AB367" s="176">
        <f t="shared" si="289"/>
        <v>2.67</v>
      </c>
      <c r="AC367" s="178" t="str">
        <f t="shared" si="290"/>
        <v xml:space="preserve"> </v>
      </c>
      <c r="AD367" s="176">
        <f t="shared" si="291"/>
        <v>0</v>
      </c>
      <c r="AE367" s="178" t="str">
        <f t="shared" si="292"/>
        <v xml:space="preserve"> </v>
      </c>
      <c r="AF367" s="176">
        <f t="shared" si="293"/>
        <v>0</v>
      </c>
      <c r="AG367" s="178" t="str">
        <f t="shared" si="294"/>
        <v/>
      </c>
      <c r="AH367" s="176">
        <f t="shared" si="295"/>
        <v>0</v>
      </c>
    </row>
    <row r="368" spans="2:34" ht="16.5" outlineLevel="1" x14ac:dyDescent="0.25">
      <c r="B368" s="175" t="s">
        <v>2661</v>
      </c>
      <c r="C368" s="176">
        <v>2.67</v>
      </c>
      <c r="D368" s="176">
        <v>7.14</v>
      </c>
      <c r="E368" s="194">
        <v>3</v>
      </c>
      <c r="F368" s="194">
        <v>2.1</v>
      </c>
      <c r="G368" s="194">
        <f t="shared" si="296"/>
        <v>0.89999999999999991</v>
      </c>
      <c r="H368" s="176"/>
      <c r="I368" s="178" t="str">
        <f t="shared" si="277"/>
        <v>X</v>
      </c>
      <c r="J368" s="176">
        <f t="shared" si="278"/>
        <v>21.419999999999998</v>
      </c>
      <c r="K368" s="178" t="str">
        <f t="shared" si="279"/>
        <v>X</v>
      </c>
      <c r="L368" s="176">
        <f t="shared" si="280"/>
        <v>14.994</v>
      </c>
      <c r="M368" s="178" t="str">
        <f t="shared" si="281"/>
        <v>X</v>
      </c>
      <c r="N368" s="177">
        <f t="shared" si="282"/>
        <v>6.4259999999999984</v>
      </c>
      <c r="O368" s="178" t="str">
        <f t="shared" si="283"/>
        <v>X</v>
      </c>
      <c r="P368" s="176">
        <f t="shared" si="284"/>
        <v>14.994</v>
      </c>
      <c r="Q368" s="178" t="s">
        <v>0</v>
      </c>
      <c r="R368" s="176"/>
      <c r="S368" s="178" t="s">
        <v>2578</v>
      </c>
      <c r="T368" s="178" t="str">
        <f t="shared" si="285"/>
        <v>X</v>
      </c>
      <c r="U368" s="176">
        <f t="shared" si="297"/>
        <v>6.4259999999999984</v>
      </c>
      <c r="V368" s="178" t="str">
        <f t="shared" si="286"/>
        <v xml:space="preserve"> </v>
      </c>
      <c r="W368" s="176">
        <f t="shared" si="298"/>
        <v>0</v>
      </c>
      <c r="X368" s="178" t="str">
        <f t="shared" si="287"/>
        <v xml:space="preserve"> </v>
      </c>
      <c r="Y368" s="176">
        <f t="shared" si="299"/>
        <v>0</v>
      </c>
      <c r="Z368" s="178" t="s">
        <v>2581</v>
      </c>
      <c r="AA368" s="178" t="str">
        <f t="shared" si="288"/>
        <v>X</v>
      </c>
      <c r="AB368" s="176">
        <f t="shared" si="289"/>
        <v>2.67</v>
      </c>
      <c r="AC368" s="178" t="str">
        <f t="shared" si="290"/>
        <v xml:space="preserve"> </v>
      </c>
      <c r="AD368" s="176">
        <f t="shared" si="291"/>
        <v>0</v>
      </c>
      <c r="AE368" s="178" t="str">
        <f t="shared" si="292"/>
        <v xml:space="preserve"> </v>
      </c>
      <c r="AF368" s="176">
        <f t="shared" si="293"/>
        <v>0</v>
      </c>
      <c r="AG368" s="178" t="str">
        <f t="shared" si="294"/>
        <v/>
      </c>
      <c r="AH368" s="176">
        <f t="shared" si="295"/>
        <v>0</v>
      </c>
    </row>
    <row r="369" spans="2:34" ht="16.5" outlineLevel="1" x14ac:dyDescent="0.25">
      <c r="B369" s="175" t="s">
        <v>2594</v>
      </c>
      <c r="C369" s="176">
        <v>32.14</v>
      </c>
      <c r="D369" s="176">
        <v>35.74</v>
      </c>
      <c r="E369" s="194">
        <v>3</v>
      </c>
      <c r="F369" s="194">
        <v>0</v>
      </c>
      <c r="G369" s="194">
        <f t="shared" si="296"/>
        <v>3</v>
      </c>
      <c r="H369" s="176"/>
      <c r="I369" s="178" t="str">
        <f t="shared" si="277"/>
        <v>X</v>
      </c>
      <c r="J369" s="176">
        <f t="shared" ref="J369:J374" si="300">IF(I369="X",($D369-H369)*E369,0)</f>
        <v>107.22</v>
      </c>
      <c r="K369" s="178" t="str">
        <f t="shared" si="279"/>
        <v xml:space="preserve"> </v>
      </c>
      <c r="L369" s="176">
        <f t="shared" ref="L369:L374" si="301">IF(K369="X",($D369-H369)*F369,0)</f>
        <v>0</v>
      </c>
      <c r="M369" s="178" t="str">
        <f t="shared" si="281"/>
        <v>X</v>
      </c>
      <c r="N369" s="177">
        <f t="shared" ref="N369:N374" si="302">IF(M369="X",J369-L369,0)</f>
        <v>107.22</v>
      </c>
      <c r="O369" s="178" t="str">
        <f t="shared" si="283"/>
        <v xml:space="preserve"> </v>
      </c>
      <c r="P369" s="176">
        <f t="shared" ref="P369:P374" si="303">IF(L369&gt;0,L369,0)</f>
        <v>0</v>
      </c>
      <c r="Q369" s="178" t="s">
        <v>0</v>
      </c>
      <c r="R369" s="176"/>
      <c r="S369" s="178" t="s">
        <v>2578</v>
      </c>
      <c r="T369" s="178" t="str">
        <f t="shared" si="285"/>
        <v>X</v>
      </c>
      <c r="U369" s="176">
        <f t="shared" si="297"/>
        <v>107.22</v>
      </c>
      <c r="V369" s="178" t="str">
        <f t="shared" si="286"/>
        <v xml:space="preserve"> </v>
      </c>
      <c r="W369" s="176">
        <f t="shared" si="298"/>
        <v>0</v>
      </c>
      <c r="X369" s="178" t="str">
        <f t="shared" si="287"/>
        <v xml:space="preserve"> </v>
      </c>
      <c r="Y369" s="176">
        <f t="shared" si="299"/>
        <v>0</v>
      </c>
      <c r="Z369" s="178" t="s">
        <v>2582</v>
      </c>
      <c r="AA369" s="178" t="str">
        <f t="shared" si="288"/>
        <v xml:space="preserve"> </v>
      </c>
      <c r="AB369" s="176">
        <f t="shared" si="289"/>
        <v>0</v>
      </c>
      <c r="AC369" s="178" t="str">
        <f t="shared" si="290"/>
        <v>X</v>
      </c>
      <c r="AD369" s="176">
        <f t="shared" si="291"/>
        <v>32.14</v>
      </c>
      <c r="AE369" s="178" t="str">
        <f t="shared" si="292"/>
        <v xml:space="preserve"> </v>
      </c>
      <c r="AF369" s="176">
        <f t="shared" si="293"/>
        <v>0</v>
      </c>
      <c r="AG369" s="178" t="str">
        <f t="shared" si="294"/>
        <v>X</v>
      </c>
      <c r="AH369" s="176">
        <f t="shared" si="295"/>
        <v>35.74</v>
      </c>
    </row>
    <row r="370" spans="2:34" ht="16.5" outlineLevel="1" x14ac:dyDescent="0.25">
      <c r="B370" s="175" t="s">
        <v>2803</v>
      </c>
      <c r="C370" s="176">
        <v>20.72</v>
      </c>
      <c r="D370" s="176">
        <v>18.7</v>
      </c>
      <c r="E370" s="194">
        <v>3</v>
      </c>
      <c r="F370" s="194">
        <v>3</v>
      </c>
      <c r="G370" s="194">
        <f t="shared" si="296"/>
        <v>0</v>
      </c>
      <c r="H370" s="176"/>
      <c r="I370" s="178" t="str">
        <f t="shared" si="277"/>
        <v>X</v>
      </c>
      <c r="J370" s="176">
        <f t="shared" si="300"/>
        <v>56.099999999999994</v>
      </c>
      <c r="K370" s="178" t="str">
        <f t="shared" si="279"/>
        <v>X</v>
      </c>
      <c r="L370" s="176">
        <f t="shared" si="301"/>
        <v>56.099999999999994</v>
      </c>
      <c r="M370" s="178" t="str">
        <f t="shared" si="281"/>
        <v>X</v>
      </c>
      <c r="N370" s="177">
        <f t="shared" si="302"/>
        <v>0</v>
      </c>
      <c r="O370" s="178" t="str">
        <f t="shared" si="283"/>
        <v>X</v>
      </c>
      <c r="P370" s="176">
        <f t="shared" si="303"/>
        <v>56.099999999999994</v>
      </c>
      <c r="Q370" s="178" t="s">
        <v>0</v>
      </c>
      <c r="R370" s="176"/>
      <c r="S370" s="178" t="s">
        <v>2623</v>
      </c>
      <c r="T370" s="178" t="str">
        <f t="shared" si="285"/>
        <v xml:space="preserve"> </v>
      </c>
      <c r="U370" s="176">
        <f t="shared" si="297"/>
        <v>0</v>
      </c>
      <c r="V370" s="178" t="str">
        <f t="shared" si="286"/>
        <v xml:space="preserve"> </v>
      </c>
      <c r="W370" s="176">
        <f t="shared" si="298"/>
        <v>0</v>
      </c>
      <c r="X370" s="178" t="str">
        <f t="shared" si="287"/>
        <v xml:space="preserve"> </v>
      </c>
      <c r="Y370" s="176">
        <f t="shared" si="299"/>
        <v>0</v>
      </c>
      <c r="Z370" s="178" t="s">
        <v>2581</v>
      </c>
      <c r="AA370" s="178" t="str">
        <f t="shared" si="288"/>
        <v>X</v>
      </c>
      <c r="AB370" s="176">
        <f t="shared" si="289"/>
        <v>20.72</v>
      </c>
      <c r="AC370" s="178" t="str">
        <f t="shared" si="290"/>
        <v xml:space="preserve"> </v>
      </c>
      <c r="AD370" s="176">
        <f t="shared" si="291"/>
        <v>0</v>
      </c>
      <c r="AE370" s="178" t="str">
        <f t="shared" si="292"/>
        <v xml:space="preserve"> </v>
      </c>
      <c r="AF370" s="176">
        <f t="shared" si="293"/>
        <v>0</v>
      </c>
      <c r="AG370" s="178" t="str">
        <f t="shared" si="294"/>
        <v/>
      </c>
      <c r="AH370" s="176">
        <f t="shared" si="295"/>
        <v>0</v>
      </c>
    </row>
    <row r="371" spans="2:34" ht="16.5" outlineLevel="1" x14ac:dyDescent="0.25">
      <c r="B371" s="175" t="s">
        <v>2543</v>
      </c>
      <c r="C371" s="176">
        <v>131.66</v>
      </c>
      <c r="D371" s="176">
        <v>57.09</v>
      </c>
      <c r="E371" s="194">
        <v>3</v>
      </c>
      <c r="F371" s="194">
        <v>0</v>
      </c>
      <c r="G371" s="194">
        <f t="shared" si="296"/>
        <v>3</v>
      </c>
      <c r="H371" s="176"/>
      <c r="I371" s="178" t="str">
        <f t="shared" si="277"/>
        <v>X</v>
      </c>
      <c r="J371" s="176">
        <f t="shared" si="300"/>
        <v>171.27</v>
      </c>
      <c r="K371" s="178" t="str">
        <f t="shared" si="279"/>
        <v xml:space="preserve"> </v>
      </c>
      <c r="L371" s="176">
        <f t="shared" si="301"/>
        <v>0</v>
      </c>
      <c r="M371" s="178" t="str">
        <f t="shared" si="281"/>
        <v>X</v>
      </c>
      <c r="N371" s="177">
        <f t="shared" si="302"/>
        <v>171.27</v>
      </c>
      <c r="O371" s="178" t="str">
        <f t="shared" si="283"/>
        <v xml:space="preserve"> </v>
      </c>
      <c r="P371" s="176">
        <f t="shared" si="303"/>
        <v>0</v>
      </c>
      <c r="Q371" s="178" t="s">
        <v>0</v>
      </c>
      <c r="R371" s="176"/>
      <c r="S371" s="178" t="s">
        <v>2578</v>
      </c>
      <c r="T371" s="178" t="str">
        <f t="shared" si="285"/>
        <v>X</v>
      </c>
      <c r="U371" s="176">
        <f t="shared" si="297"/>
        <v>171.27</v>
      </c>
      <c r="V371" s="178" t="str">
        <f t="shared" si="286"/>
        <v xml:space="preserve"> </v>
      </c>
      <c r="W371" s="176">
        <f t="shared" si="298"/>
        <v>0</v>
      </c>
      <c r="X371" s="178" t="str">
        <f t="shared" si="287"/>
        <v xml:space="preserve"> </v>
      </c>
      <c r="Y371" s="176">
        <f t="shared" si="299"/>
        <v>0</v>
      </c>
      <c r="Z371" s="178" t="s">
        <v>2581</v>
      </c>
      <c r="AA371" s="178" t="str">
        <f t="shared" si="288"/>
        <v>X</v>
      </c>
      <c r="AB371" s="176">
        <f t="shared" si="289"/>
        <v>131.66</v>
      </c>
      <c r="AC371" s="178" t="str">
        <f t="shared" si="290"/>
        <v xml:space="preserve"> </v>
      </c>
      <c r="AD371" s="176">
        <f t="shared" si="291"/>
        <v>0</v>
      </c>
      <c r="AE371" s="178" t="str">
        <f t="shared" si="292"/>
        <v xml:space="preserve"> </v>
      </c>
      <c r="AF371" s="176">
        <f t="shared" si="293"/>
        <v>0</v>
      </c>
      <c r="AG371" s="178" t="str">
        <f t="shared" si="294"/>
        <v>X</v>
      </c>
      <c r="AH371" s="176">
        <f t="shared" si="295"/>
        <v>57.09</v>
      </c>
    </row>
    <row r="372" spans="2:34" ht="16.5" outlineLevel="1" x14ac:dyDescent="0.25">
      <c r="B372" s="175" t="s">
        <v>2804</v>
      </c>
      <c r="C372" s="176">
        <v>6.24</v>
      </c>
      <c r="D372" s="176">
        <v>10</v>
      </c>
      <c r="E372" s="194">
        <v>3</v>
      </c>
      <c r="F372" s="194">
        <v>0</v>
      </c>
      <c r="G372" s="194">
        <f t="shared" si="296"/>
        <v>3</v>
      </c>
      <c r="H372" s="176"/>
      <c r="I372" s="178" t="str">
        <f t="shared" si="277"/>
        <v>X</v>
      </c>
      <c r="J372" s="176">
        <f t="shared" si="300"/>
        <v>30</v>
      </c>
      <c r="K372" s="178" t="str">
        <f t="shared" si="279"/>
        <v xml:space="preserve"> </v>
      </c>
      <c r="L372" s="176">
        <f t="shared" si="301"/>
        <v>0</v>
      </c>
      <c r="M372" s="178" t="str">
        <f t="shared" si="281"/>
        <v>X</v>
      </c>
      <c r="N372" s="177">
        <f t="shared" si="302"/>
        <v>30</v>
      </c>
      <c r="O372" s="178" t="str">
        <f t="shared" si="283"/>
        <v xml:space="preserve"> </v>
      </c>
      <c r="P372" s="176">
        <f t="shared" si="303"/>
        <v>0</v>
      </c>
      <c r="Q372" s="178" t="s">
        <v>0</v>
      </c>
      <c r="R372" s="176"/>
      <c r="S372" s="178" t="s">
        <v>2578</v>
      </c>
      <c r="T372" s="178" t="str">
        <f t="shared" si="285"/>
        <v>X</v>
      </c>
      <c r="U372" s="176">
        <f t="shared" si="297"/>
        <v>30</v>
      </c>
      <c r="V372" s="178" t="str">
        <f t="shared" si="286"/>
        <v xml:space="preserve"> </v>
      </c>
      <c r="W372" s="176">
        <f t="shared" si="298"/>
        <v>0</v>
      </c>
      <c r="X372" s="178" t="str">
        <f t="shared" si="287"/>
        <v xml:space="preserve"> </v>
      </c>
      <c r="Y372" s="176">
        <f t="shared" si="299"/>
        <v>0</v>
      </c>
      <c r="Z372" s="178" t="s">
        <v>2581</v>
      </c>
      <c r="AA372" s="178" t="str">
        <f t="shared" si="288"/>
        <v>X</v>
      </c>
      <c r="AB372" s="176">
        <f t="shared" si="289"/>
        <v>6.24</v>
      </c>
      <c r="AC372" s="178" t="str">
        <f t="shared" si="290"/>
        <v xml:space="preserve"> </v>
      </c>
      <c r="AD372" s="176">
        <f t="shared" si="291"/>
        <v>0</v>
      </c>
      <c r="AE372" s="178" t="str">
        <f t="shared" si="292"/>
        <v xml:space="preserve"> </v>
      </c>
      <c r="AF372" s="176">
        <f t="shared" si="293"/>
        <v>0</v>
      </c>
      <c r="AG372" s="178" t="str">
        <f t="shared" si="294"/>
        <v>X</v>
      </c>
      <c r="AH372" s="176">
        <f t="shared" si="295"/>
        <v>10</v>
      </c>
    </row>
    <row r="373" spans="2:34" ht="16.5" outlineLevel="1" x14ac:dyDescent="0.25">
      <c r="B373" s="175" t="s">
        <v>2805</v>
      </c>
      <c r="C373" s="176">
        <v>9.64</v>
      </c>
      <c r="D373" s="176">
        <v>12.71</v>
      </c>
      <c r="E373" s="194">
        <v>3</v>
      </c>
      <c r="F373" s="194">
        <v>3</v>
      </c>
      <c r="G373" s="194">
        <f t="shared" si="296"/>
        <v>0</v>
      </c>
      <c r="H373" s="176"/>
      <c r="I373" s="178" t="str">
        <f t="shared" si="277"/>
        <v>X</v>
      </c>
      <c r="J373" s="176">
        <f t="shared" si="300"/>
        <v>38.130000000000003</v>
      </c>
      <c r="K373" s="178" t="str">
        <f t="shared" si="279"/>
        <v>X</v>
      </c>
      <c r="L373" s="176">
        <f t="shared" si="301"/>
        <v>38.130000000000003</v>
      </c>
      <c r="M373" s="178" t="str">
        <f t="shared" si="281"/>
        <v>X</v>
      </c>
      <c r="N373" s="177">
        <f t="shared" si="302"/>
        <v>0</v>
      </c>
      <c r="O373" s="178" t="str">
        <f t="shared" si="283"/>
        <v>X</v>
      </c>
      <c r="P373" s="176">
        <f t="shared" si="303"/>
        <v>38.130000000000003</v>
      </c>
      <c r="Q373" s="178" t="s">
        <v>0</v>
      </c>
      <c r="R373" s="176"/>
      <c r="S373" s="178" t="s">
        <v>2623</v>
      </c>
      <c r="T373" s="178" t="str">
        <f t="shared" si="285"/>
        <v xml:space="preserve"> </v>
      </c>
      <c r="U373" s="176">
        <f t="shared" si="297"/>
        <v>0</v>
      </c>
      <c r="V373" s="178" t="str">
        <f t="shared" si="286"/>
        <v xml:space="preserve"> </v>
      </c>
      <c r="W373" s="176">
        <f t="shared" si="298"/>
        <v>0</v>
      </c>
      <c r="X373" s="178" t="str">
        <f t="shared" si="287"/>
        <v xml:space="preserve"> </v>
      </c>
      <c r="Y373" s="176">
        <f t="shared" si="299"/>
        <v>0</v>
      </c>
      <c r="Z373" s="178" t="s">
        <v>2581</v>
      </c>
      <c r="AA373" s="178" t="str">
        <f t="shared" si="288"/>
        <v>X</v>
      </c>
      <c r="AB373" s="176">
        <f t="shared" si="289"/>
        <v>9.64</v>
      </c>
      <c r="AC373" s="178" t="str">
        <f t="shared" si="290"/>
        <v xml:space="preserve"> </v>
      </c>
      <c r="AD373" s="176">
        <f t="shared" si="291"/>
        <v>0</v>
      </c>
      <c r="AE373" s="178" t="str">
        <f t="shared" si="292"/>
        <v xml:space="preserve"> </v>
      </c>
      <c r="AF373" s="176">
        <f t="shared" si="293"/>
        <v>0</v>
      </c>
      <c r="AG373" s="178" t="str">
        <f t="shared" si="294"/>
        <v/>
      </c>
      <c r="AH373" s="176">
        <f t="shared" si="295"/>
        <v>0</v>
      </c>
    </row>
    <row r="374" spans="2:34" ht="16.5" outlineLevel="1" x14ac:dyDescent="0.25">
      <c r="B374" s="175" t="s">
        <v>2591</v>
      </c>
      <c r="C374" s="176">
        <v>3</v>
      </c>
      <c r="D374" s="176">
        <v>7.4</v>
      </c>
      <c r="E374" s="194">
        <v>3</v>
      </c>
      <c r="F374" s="194">
        <v>2.1</v>
      </c>
      <c r="G374" s="194">
        <f t="shared" si="296"/>
        <v>0.89999999999999991</v>
      </c>
      <c r="H374" s="176"/>
      <c r="I374" s="178" t="str">
        <f t="shared" si="277"/>
        <v>X</v>
      </c>
      <c r="J374" s="176">
        <f t="shared" si="300"/>
        <v>22.200000000000003</v>
      </c>
      <c r="K374" s="178" t="str">
        <f t="shared" si="279"/>
        <v>X</v>
      </c>
      <c r="L374" s="176">
        <f t="shared" si="301"/>
        <v>15.540000000000001</v>
      </c>
      <c r="M374" s="178" t="str">
        <f t="shared" si="281"/>
        <v>X</v>
      </c>
      <c r="N374" s="177">
        <f t="shared" si="302"/>
        <v>6.6600000000000019</v>
      </c>
      <c r="O374" s="178" t="str">
        <f t="shared" si="283"/>
        <v>X</v>
      </c>
      <c r="P374" s="176">
        <f t="shared" si="303"/>
        <v>15.540000000000001</v>
      </c>
      <c r="Q374" s="178" t="s">
        <v>0</v>
      </c>
      <c r="R374" s="176"/>
      <c r="S374" s="178" t="s">
        <v>2578</v>
      </c>
      <c r="T374" s="178" t="str">
        <f t="shared" si="285"/>
        <v>X</v>
      </c>
      <c r="U374" s="176">
        <f t="shared" si="297"/>
        <v>6.6600000000000019</v>
      </c>
      <c r="V374" s="178" t="str">
        <f t="shared" si="286"/>
        <v xml:space="preserve"> </v>
      </c>
      <c r="W374" s="176">
        <f t="shared" si="298"/>
        <v>0</v>
      </c>
      <c r="X374" s="178" t="str">
        <f t="shared" si="287"/>
        <v xml:space="preserve"> </v>
      </c>
      <c r="Y374" s="176">
        <f t="shared" si="299"/>
        <v>0</v>
      </c>
      <c r="Z374" s="178" t="s">
        <v>2581</v>
      </c>
      <c r="AA374" s="178" t="str">
        <f t="shared" si="288"/>
        <v>X</v>
      </c>
      <c r="AB374" s="176">
        <f t="shared" si="289"/>
        <v>3</v>
      </c>
      <c r="AC374" s="178" t="str">
        <f t="shared" si="290"/>
        <v xml:space="preserve"> </v>
      </c>
      <c r="AD374" s="176">
        <f t="shared" si="291"/>
        <v>0</v>
      </c>
      <c r="AE374" s="178" t="str">
        <f t="shared" si="292"/>
        <v xml:space="preserve"> </v>
      </c>
      <c r="AF374" s="176">
        <f t="shared" si="293"/>
        <v>0</v>
      </c>
      <c r="AG374" s="178" t="str">
        <f t="shared" si="294"/>
        <v/>
      </c>
      <c r="AH374" s="176">
        <f t="shared" si="295"/>
        <v>0</v>
      </c>
    </row>
    <row r="375" spans="2:34" ht="16.5" x14ac:dyDescent="0.25">
      <c r="B375" s="182"/>
      <c r="C375" s="185"/>
      <c r="D375" s="185"/>
      <c r="E375" s="185"/>
      <c r="F375" s="185"/>
      <c r="G375" s="185"/>
      <c r="H375" s="185"/>
      <c r="I375" s="184"/>
      <c r="J375" s="185"/>
      <c r="K375" s="184"/>
      <c r="L375" s="185"/>
      <c r="M375" s="184"/>
      <c r="N375" s="185"/>
      <c r="O375" s="201"/>
      <c r="P375" s="185"/>
      <c r="Q375" s="184"/>
      <c r="R375" s="189"/>
      <c r="S375" s="185"/>
      <c r="T375" s="184"/>
      <c r="U375" s="185"/>
      <c r="V375" s="184"/>
      <c r="W375" s="185"/>
      <c r="X375" s="184"/>
      <c r="Y375" s="189"/>
      <c r="Z375" s="185"/>
      <c r="AA375" s="184"/>
      <c r="AB375" s="185"/>
      <c r="AC375" s="184"/>
      <c r="AD375" s="185"/>
      <c r="AE375" s="184"/>
      <c r="AF375" s="189"/>
      <c r="AG375" s="184"/>
      <c r="AH375" s="189"/>
    </row>
    <row r="376" spans="2:34" ht="16.5" x14ac:dyDescent="0.25">
      <c r="B376" s="929" t="s">
        <v>2545</v>
      </c>
      <c r="C376" s="930"/>
      <c r="D376" s="930"/>
      <c r="E376" s="930"/>
      <c r="F376" s="930"/>
      <c r="G376" s="930"/>
      <c r="H376" s="931"/>
      <c r="I376" s="190" t="s">
        <v>2586</v>
      </c>
      <c r="J376" s="191">
        <f>SUBTOTAL(9,J377:J378)</f>
        <v>41.699999999999996</v>
      </c>
      <c r="K376" s="192" t="s">
        <v>2586</v>
      </c>
      <c r="L376" s="191">
        <f>SUBTOTAL(9,L377:L378)</f>
        <v>13.23</v>
      </c>
      <c r="M376" s="190" t="s">
        <v>2586</v>
      </c>
      <c r="N376" s="200">
        <f>SUBTOTAL(9,N377:N378)</f>
        <v>28.469999999999995</v>
      </c>
      <c r="O376" s="190" t="s">
        <v>2586</v>
      </c>
      <c r="P376" s="191">
        <f>SUBTOTAL(9,P377:P378)</f>
        <v>13.23</v>
      </c>
      <c r="Q376" s="190" t="s">
        <v>2586</v>
      </c>
      <c r="R376" s="191">
        <f>SUBTOTAL(9,R377:R378)</f>
        <v>0</v>
      </c>
      <c r="S376" s="191"/>
      <c r="T376" s="190" t="s">
        <v>2586</v>
      </c>
      <c r="U376" s="200">
        <f>SUBTOTAL(9,U377:U378)</f>
        <v>28.469999999999995</v>
      </c>
      <c r="V376" s="190" t="s">
        <v>2586</v>
      </c>
      <c r="W376" s="191">
        <f>SUBTOTAL(9,W377:W378)</f>
        <v>0</v>
      </c>
      <c r="X376" s="190" t="s">
        <v>2586</v>
      </c>
      <c r="Y376" s="191">
        <f>SUBTOTAL(9,Y377:Y378)</f>
        <v>0</v>
      </c>
      <c r="Z376" s="191"/>
      <c r="AA376" s="190" t="s">
        <v>2586</v>
      </c>
      <c r="AB376" s="200">
        <f>SUBTOTAL(9,AB377:AB378)</f>
        <v>5.84</v>
      </c>
      <c r="AC376" s="190" t="s">
        <v>2586</v>
      </c>
      <c r="AD376" s="191">
        <f>SUBTOTAL(9,AD377:AD378)</f>
        <v>0</v>
      </c>
      <c r="AE376" s="190" t="s">
        <v>2586</v>
      </c>
      <c r="AF376" s="191">
        <f>SUBTOTAL(9,AF377:AF378)</f>
        <v>0</v>
      </c>
      <c r="AG376" s="190" t="s">
        <v>2586</v>
      </c>
      <c r="AH376" s="191">
        <f>SUBTOTAL(9,AH377:AH378)</f>
        <v>7.6</v>
      </c>
    </row>
    <row r="377" spans="2:34" ht="16.5" outlineLevel="1" x14ac:dyDescent="0.25">
      <c r="B377" s="175" t="s">
        <v>2545</v>
      </c>
      <c r="C377" s="176">
        <v>3.59</v>
      </c>
      <c r="D377" s="176">
        <v>7.6</v>
      </c>
      <c r="E377" s="194">
        <v>3</v>
      </c>
      <c r="F377" s="194">
        <v>0</v>
      </c>
      <c r="G377" s="194">
        <f>E377-F377</f>
        <v>3</v>
      </c>
      <c r="H377" s="176"/>
      <c r="I377" s="178" t="str">
        <f>IF($E377&gt;0,"X"," ")</f>
        <v>X</v>
      </c>
      <c r="J377" s="176">
        <f>IF(I377="X",($D377-H377)*E377,0)</f>
        <v>22.799999999999997</v>
      </c>
      <c r="K377" s="178" t="str">
        <f>IF($F377&gt;0,"X"," ")</f>
        <v xml:space="preserve"> </v>
      </c>
      <c r="L377" s="176">
        <f>IF(K377="X",($D377-H377)*F377,0)</f>
        <v>0</v>
      </c>
      <c r="M377" s="178" t="str">
        <f>IF($E377&gt;0,"X"," ")</f>
        <v>X</v>
      </c>
      <c r="N377" s="177">
        <f>IF(M377="X",J377-L377,0)</f>
        <v>22.799999999999997</v>
      </c>
      <c r="O377" s="178" t="str">
        <f>IF($F377&gt;0,"X"," ")</f>
        <v xml:space="preserve"> </v>
      </c>
      <c r="P377" s="176">
        <f>IF(L377&gt;0,L377,0)</f>
        <v>0</v>
      </c>
      <c r="Q377" s="178" t="s">
        <v>0</v>
      </c>
      <c r="R377" s="176"/>
      <c r="S377" s="178" t="s">
        <v>2578</v>
      </c>
      <c r="T377" s="178" t="str">
        <f>IF($S377="ACRÍLICA","X"," ")</f>
        <v>X</v>
      </c>
      <c r="U377" s="176">
        <f>IF(T377="X",$N377,0)</f>
        <v>22.799999999999997</v>
      </c>
      <c r="V377" s="178" t="str">
        <f>IF($S377="EPÓXI","X"," ")</f>
        <v xml:space="preserve"> </v>
      </c>
      <c r="W377" s="176">
        <f>IF(V377="X",$N377,0)</f>
        <v>0</v>
      </c>
      <c r="X377" s="178" t="str">
        <f>IF($S377="TEXTURA","X"," ")</f>
        <v xml:space="preserve"> </v>
      </c>
      <c r="Y377" s="176">
        <f>IF(X377="X",$N377,0)</f>
        <v>0</v>
      </c>
      <c r="Z377" s="178" t="s">
        <v>2581</v>
      </c>
      <c r="AA377" s="178" t="str">
        <f>IF($Z377="ACARTONADO","X"," ")</f>
        <v>X</v>
      </c>
      <c r="AB377" s="176">
        <f>IF(AA377="X",$C377,0)</f>
        <v>3.59</v>
      </c>
      <c r="AC377" s="178" t="str">
        <f>IF($Z377="MINERAL","X"," ")</f>
        <v xml:space="preserve"> </v>
      </c>
      <c r="AD377" s="176">
        <f>IF(AC377="X",$C377,0)</f>
        <v>0</v>
      </c>
      <c r="AE377" s="178" t="str">
        <f>IF($Z377="LAJE","X"," ")</f>
        <v xml:space="preserve"> </v>
      </c>
      <c r="AF377" s="176">
        <f>IF(AE377="X",$C377,0)</f>
        <v>0</v>
      </c>
      <c r="AG377" s="178" t="str">
        <f>IF(K377="X","","X")</f>
        <v>X</v>
      </c>
      <c r="AH377" s="176">
        <f>IF(AG377="X",$D377-H377,0)</f>
        <v>7.6</v>
      </c>
    </row>
    <row r="378" spans="2:34" ht="16.5" outlineLevel="1" x14ac:dyDescent="0.25">
      <c r="B378" s="175" t="s">
        <v>2806</v>
      </c>
      <c r="C378" s="176">
        <v>2.25</v>
      </c>
      <c r="D378" s="176">
        <v>6.3</v>
      </c>
      <c r="E378" s="194">
        <v>3</v>
      </c>
      <c r="F378" s="194">
        <v>2.1</v>
      </c>
      <c r="G378" s="194">
        <f>E378-F378</f>
        <v>0.89999999999999991</v>
      </c>
      <c r="H378" s="176"/>
      <c r="I378" s="178" t="str">
        <f>IF($E378&gt;0,"X"," ")</f>
        <v>X</v>
      </c>
      <c r="J378" s="176">
        <f>IF(I378="X",($D378-H378)*E378,0)</f>
        <v>18.899999999999999</v>
      </c>
      <c r="K378" s="178" t="str">
        <f>IF($F378&gt;0,"X"," ")</f>
        <v>X</v>
      </c>
      <c r="L378" s="176">
        <f>IF(K378="X",($D378-H378)*F378,0)</f>
        <v>13.23</v>
      </c>
      <c r="M378" s="178" t="str">
        <f>IF($E378&gt;0,"X"," ")</f>
        <v>X</v>
      </c>
      <c r="N378" s="177">
        <f>IF(M378="X",J378-L378,0)</f>
        <v>5.6699999999999982</v>
      </c>
      <c r="O378" s="178" t="str">
        <f>IF($F378&gt;0,"X"," ")</f>
        <v>X</v>
      </c>
      <c r="P378" s="176">
        <f>IF(L378&gt;0,L378,0)</f>
        <v>13.23</v>
      </c>
      <c r="Q378" s="178" t="s">
        <v>0</v>
      </c>
      <c r="R378" s="176"/>
      <c r="S378" s="178" t="s">
        <v>2578</v>
      </c>
      <c r="T378" s="178" t="str">
        <f>IF($S378="ACRÍLICA","X"," ")</f>
        <v>X</v>
      </c>
      <c r="U378" s="176">
        <f>IF(T378="X",$N378,0)</f>
        <v>5.6699999999999982</v>
      </c>
      <c r="V378" s="178" t="str">
        <f>IF($S378="EPÓXI","X"," ")</f>
        <v xml:space="preserve"> </v>
      </c>
      <c r="W378" s="176">
        <f>IF(V378="X",$N378,0)</f>
        <v>0</v>
      </c>
      <c r="X378" s="178" t="str">
        <f>IF($S378="TEXTURA","X"," ")</f>
        <v xml:space="preserve"> </v>
      </c>
      <c r="Y378" s="176">
        <f>IF(X378="X",$N378,0)</f>
        <v>0</v>
      </c>
      <c r="Z378" s="178" t="s">
        <v>2581</v>
      </c>
      <c r="AA378" s="178" t="str">
        <f>IF($Z378="ACARTONADO","X"," ")</f>
        <v>X</v>
      </c>
      <c r="AB378" s="176">
        <f>IF(AA378="X",$C378,0)</f>
        <v>2.25</v>
      </c>
      <c r="AC378" s="178" t="str">
        <f>IF($Z378="MINERAL","X"," ")</f>
        <v xml:space="preserve"> </v>
      </c>
      <c r="AD378" s="176">
        <f>IF(AC378="X",$C378,0)</f>
        <v>0</v>
      </c>
      <c r="AE378" s="178" t="str">
        <f>IF($Z378="LAJE","X"," ")</f>
        <v xml:space="preserve"> </v>
      </c>
      <c r="AF378" s="176">
        <f>IF(AE378="X",$C378,0)</f>
        <v>0</v>
      </c>
      <c r="AG378" s="178" t="str">
        <f>IF(K378="X","","X")</f>
        <v/>
      </c>
      <c r="AH378" s="176">
        <f>IF(AG378="X",$D378-H378,0)</f>
        <v>0</v>
      </c>
    </row>
    <row r="379" spans="2:34" ht="16.5" x14ac:dyDescent="0.25">
      <c r="B379" s="182"/>
      <c r="C379" s="185"/>
      <c r="D379" s="185"/>
      <c r="E379" s="185"/>
      <c r="F379" s="185"/>
      <c r="G379" s="185"/>
      <c r="H379" s="185"/>
      <c r="I379" s="184"/>
      <c r="J379" s="185"/>
      <c r="K379" s="184"/>
      <c r="L379" s="185"/>
      <c r="M379" s="184"/>
      <c r="N379" s="185"/>
      <c r="O379" s="201"/>
      <c r="P379" s="185"/>
      <c r="Q379" s="184"/>
      <c r="R379" s="189"/>
      <c r="S379" s="185"/>
      <c r="T379" s="184"/>
      <c r="U379" s="185"/>
      <c r="V379" s="184"/>
      <c r="W379" s="185"/>
      <c r="X379" s="184"/>
      <c r="Y379" s="189"/>
      <c r="Z379" s="185"/>
      <c r="AA379" s="184"/>
      <c r="AB379" s="185"/>
      <c r="AC379" s="184"/>
      <c r="AD379" s="185"/>
      <c r="AE379" s="184"/>
      <c r="AF379" s="189"/>
      <c r="AG379" s="184"/>
      <c r="AH379" s="189"/>
    </row>
    <row r="380" spans="2:34" ht="16.5" x14ac:dyDescent="0.25">
      <c r="B380" s="929" t="s">
        <v>2807</v>
      </c>
      <c r="C380" s="930"/>
      <c r="D380" s="930"/>
      <c r="E380" s="930"/>
      <c r="F380" s="930"/>
      <c r="G380" s="930"/>
      <c r="H380" s="931"/>
      <c r="I380" s="190" t="s">
        <v>2586</v>
      </c>
      <c r="J380" s="191">
        <f>SUBTOTAL(9,J381:J395)</f>
        <v>597.75000000000011</v>
      </c>
      <c r="K380" s="192" t="s">
        <v>2586</v>
      </c>
      <c r="L380" s="191">
        <f>SUBTOTAL(9,L381:L395)</f>
        <v>387.49200000000008</v>
      </c>
      <c r="M380" s="190" t="s">
        <v>2586</v>
      </c>
      <c r="N380" s="200">
        <f>SUBTOTAL(9,N381:N395)</f>
        <v>210.25799999999998</v>
      </c>
      <c r="O380" s="190" t="s">
        <v>2586</v>
      </c>
      <c r="P380" s="191">
        <f>SUBTOTAL(9,P381:P395)</f>
        <v>387.49200000000008</v>
      </c>
      <c r="Q380" s="190" t="s">
        <v>2586</v>
      </c>
      <c r="R380" s="191">
        <f>SUBTOTAL(9,R381:R395)</f>
        <v>0</v>
      </c>
      <c r="S380" s="191"/>
      <c r="T380" s="190" t="s">
        <v>2586</v>
      </c>
      <c r="U380" s="200">
        <f>SUBTOTAL(9,U381:U395)</f>
        <v>210.25799999999998</v>
      </c>
      <c r="V380" s="190" t="s">
        <v>2586</v>
      </c>
      <c r="W380" s="191">
        <f>SUBTOTAL(9,W381:W395)</f>
        <v>0</v>
      </c>
      <c r="X380" s="190" t="s">
        <v>2586</v>
      </c>
      <c r="Y380" s="191">
        <f>SUBTOTAL(9,Y381:Y395)</f>
        <v>0</v>
      </c>
      <c r="Z380" s="191"/>
      <c r="AA380" s="190" t="s">
        <v>2586</v>
      </c>
      <c r="AB380" s="200">
        <f>SUBTOTAL(9,AB381:AB395)</f>
        <v>167.71</v>
      </c>
      <c r="AC380" s="190" t="s">
        <v>2586</v>
      </c>
      <c r="AD380" s="191">
        <f>SUBTOTAL(9,AD381:AD395)</f>
        <v>0</v>
      </c>
      <c r="AE380" s="190" t="s">
        <v>2586</v>
      </c>
      <c r="AF380" s="191">
        <f>SUBTOTAL(9,AF381:AF395)</f>
        <v>0</v>
      </c>
      <c r="AG380" s="190" t="s">
        <v>2586</v>
      </c>
      <c r="AH380" s="191">
        <f>SUBTOTAL(9,AH381:AH395)</f>
        <v>14.73</v>
      </c>
    </row>
    <row r="381" spans="2:34" ht="16.5" outlineLevel="1" x14ac:dyDescent="0.25">
      <c r="B381" s="175" t="s">
        <v>2808</v>
      </c>
      <c r="C381" s="176">
        <v>7.46</v>
      </c>
      <c r="D381" s="176">
        <v>11.12</v>
      </c>
      <c r="E381" s="194">
        <v>3</v>
      </c>
      <c r="F381" s="194">
        <v>2.1</v>
      </c>
      <c r="G381" s="194">
        <f>E381-F381</f>
        <v>0.89999999999999991</v>
      </c>
      <c r="H381" s="176">
        <v>3.17</v>
      </c>
      <c r="I381" s="178" t="str">
        <f t="shared" ref="I381:I395" si="304">IF($E381&gt;0,"X"," ")</f>
        <v>X</v>
      </c>
      <c r="J381" s="176">
        <f t="shared" ref="J381:J394" si="305">IF(I381="X",($D381-H381)*E381,0)</f>
        <v>23.849999999999998</v>
      </c>
      <c r="K381" s="178" t="str">
        <f t="shared" ref="K381:K395" si="306">IF($F381&gt;0,"X"," ")</f>
        <v>X</v>
      </c>
      <c r="L381" s="176">
        <f t="shared" ref="L381:L388" si="307">IF(K381="X",($D381-H381)*F381,0)</f>
        <v>16.695</v>
      </c>
      <c r="M381" s="178" t="str">
        <f t="shared" ref="M381:M395" si="308">IF($E381&gt;0,"X"," ")</f>
        <v>X</v>
      </c>
      <c r="N381" s="177">
        <f t="shared" ref="N381:N394" si="309">IF(M381="X",J381-L381,0)</f>
        <v>7.1549999999999976</v>
      </c>
      <c r="O381" s="178" t="str">
        <f t="shared" ref="O381:O395" si="310">IF($F381&gt;0,"X"," ")</f>
        <v>X</v>
      </c>
      <c r="P381" s="176">
        <f t="shared" ref="P381:P394" si="311">IF(L381&gt;0,L381,0)</f>
        <v>16.695</v>
      </c>
      <c r="Q381" s="178" t="s">
        <v>0</v>
      </c>
      <c r="R381" s="176"/>
      <c r="S381" s="178" t="s">
        <v>2578</v>
      </c>
      <c r="T381" s="178" t="str">
        <f t="shared" ref="T381:T395" si="312">IF($S381="ACRÍLICA","X"," ")</f>
        <v>X</v>
      </c>
      <c r="U381" s="176">
        <f>IF(T381="X",$N381,0)</f>
        <v>7.1549999999999976</v>
      </c>
      <c r="V381" s="178" t="str">
        <f t="shared" ref="V381:V395" si="313">IF($S381="EPÓXI","X"," ")</f>
        <v xml:space="preserve"> </v>
      </c>
      <c r="W381" s="176">
        <f>IF(V381="X",$N381,0)</f>
        <v>0</v>
      </c>
      <c r="X381" s="178" t="str">
        <f t="shared" ref="X381:X395" si="314">IF($S381="TEXTURA","X"," ")</f>
        <v xml:space="preserve"> </v>
      </c>
      <c r="Y381" s="176">
        <f>IF(X381="X",$N381,0)</f>
        <v>0</v>
      </c>
      <c r="Z381" s="178" t="s">
        <v>2581</v>
      </c>
      <c r="AA381" s="178" t="str">
        <f t="shared" ref="AA381:AA395" si="315">IF($Z381="ACARTONADO","X"," ")</f>
        <v>X</v>
      </c>
      <c r="AB381" s="176">
        <f t="shared" ref="AB381:AB395" si="316">IF(AA381="X",$C381,0)</f>
        <v>7.46</v>
      </c>
      <c r="AC381" s="178" t="str">
        <f t="shared" ref="AC381:AC395" si="317">IF($Z381="MINERAL","X"," ")</f>
        <v xml:space="preserve"> </v>
      </c>
      <c r="AD381" s="176">
        <f t="shared" ref="AD381:AD395" si="318">IF(AC381="X",$C381,0)</f>
        <v>0</v>
      </c>
      <c r="AE381" s="178" t="str">
        <f t="shared" ref="AE381:AE395" si="319">IF($Z381="LAJE","X"," ")</f>
        <v xml:space="preserve"> </v>
      </c>
      <c r="AF381" s="176">
        <f t="shared" ref="AF381:AF395" si="320">IF(AE381="X",$C381,0)</f>
        <v>0</v>
      </c>
      <c r="AG381" s="178" t="str">
        <f t="shared" ref="AG381:AG395" si="321">IF(K381="X","","X")</f>
        <v/>
      </c>
      <c r="AH381" s="176">
        <f t="shared" ref="AH381:AH395" si="322">IF(AG381="X",$D381-H381,0)</f>
        <v>0</v>
      </c>
    </row>
    <row r="382" spans="2:34" ht="16.5" outlineLevel="1" x14ac:dyDescent="0.25">
      <c r="B382" s="175" t="s">
        <v>2809</v>
      </c>
      <c r="C382" s="176">
        <v>7.8</v>
      </c>
      <c r="D382" s="176">
        <v>12.59</v>
      </c>
      <c r="E382" s="194">
        <v>3</v>
      </c>
      <c r="F382" s="194">
        <v>2.1</v>
      </c>
      <c r="G382" s="194">
        <f t="shared" ref="G382:G395" si="323">E382-F382</f>
        <v>0.89999999999999991</v>
      </c>
      <c r="H382" s="176">
        <v>3.17</v>
      </c>
      <c r="I382" s="178" t="str">
        <f t="shared" si="304"/>
        <v>X</v>
      </c>
      <c r="J382" s="176">
        <f t="shared" si="305"/>
        <v>28.259999999999998</v>
      </c>
      <c r="K382" s="178" t="str">
        <f t="shared" si="306"/>
        <v>X</v>
      </c>
      <c r="L382" s="176">
        <f t="shared" si="307"/>
        <v>19.782</v>
      </c>
      <c r="M382" s="178" t="str">
        <f t="shared" si="308"/>
        <v>X</v>
      </c>
      <c r="N382" s="177">
        <f t="shared" si="309"/>
        <v>8.477999999999998</v>
      </c>
      <c r="O382" s="178" t="str">
        <f t="shared" si="310"/>
        <v>X</v>
      </c>
      <c r="P382" s="176">
        <f t="shared" si="311"/>
        <v>19.782</v>
      </c>
      <c r="Q382" s="178" t="s">
        <v>0</v>
      </c>
      <c r="R382" s="176"/>
      <c r="S382" s="178" t="s">
        <v>2578</v>
      </c>
      <c r="T382" s="178" t="str">
        <f t="shared" si="312"/>
        <v>X</v>
      </c>
      <c r="U382" s="176">
        <f t="shared" ref="U382:U395" si="324">IF(T382="X",$N382,0)</f>
        <v>8.477999999999998</v>
      </c>
      <c r="V382" s="178" t="str">
        <f t="shared" si="313"/>
        <v xml:space="preserve"> </v>
      </c>
      <c r="W382" s="176">
        <f t="shared" ref="W382:W395" si="325">IF(V382="X",$N382,0)</f>
        <v>0</v>
      </c>
      <c r="X382" s="178" t="str">
        <f t="shared" si="314"/>
        <v xml:space="preserve"> </v>
      </c>
      <c r="Y382" s="176">
        <f t="shared" ref="Y382:Y395" si="326">IF(X382="X",$N382,0)</f>
        <v>0</v>
      </c>
      <c r="Z382" s="178" t="s">
        <v>2581</v>
      </c>
      <c r="AA382" s="178" t="str">
        <f t="shared" si="315"/>
        <v>X</v>
      </c>
      <c r="AB382" s="176">
        <f t="shared" si="316"/>
        <v>7.8</v>
      </c>
      <c r="AC382" s="178" t="str">
        <f t="shared" si="317"/>
        <v xml:space="preserve"> </v>
      </c>
      <c r="AD382" s="176">
        <f t="shared" si="318"/>
        <v>0</v>
      </c>
      <c r="AE382" s="178" t="str">
        <f t="shared" si="319"/>
        <v xml:space="preserve"> </v>
      </c>
      <c r="AF382" s="176">
        <f t="shared" si="320"/>
        <v>0</v>
      </c>
      <c r="AG382" s="178" t="str">
        <f t="shared" si="321"/>
        <v/>
      </c>
      <c r="AH382" s="176">
        <f t="shared" si="322"/>
        <v>0</v>
      </c>
    </row>
    <row r="383" spans="2:34" ht="16.5" outlineLevel="1" x14ac:dyDescent="0.25">
      <c r="B383" s="175" t="s">
        <v>2810</v>
      </c>
      <c r="C383" s="176">
        <v>8.6300000000000008</v>
      </c>
      <c r="D383" s="176">
        <v>15.88</v>
      </c>
      <c r="E383" s="194">
        <v>3</v>
      </c>
      <c r="F383" s="194">
        <v>2.1</v>
      </c>
      <c r="G383" s="194">
        <f t="shared" si="323"/>
        <v>0.89999999999999991</v>
      </c>
      <c r="H383" s="176">
        <f>1.3+3.17+3.17</f>
        <v>7.64</v>
      </c>
      <c r="I383" s="178" t="str">
        <f t="shared" si="304"/>
        <v>X</v>
      </c>
      <c r="J383" s="176">
        <f t="shared" si="305"/>
        <v>24.720000000000006</v>
      </c>
      <c r="K383" s="178" t="str">
        <f t="shared" si="306"/>
        <v>X</v>
      </c>
      <c r="L383" s="176">
        <f t="shared" si="307"/>
        <v>17.304000000000006</v>
      </c>
      <c r="M383" s="178" t="str">
        <f t="shared" si="308"/>
        <v>X</v>
      </c>
      <c r="N383" s="177">
        <f t="shared" si="309"/>
        <v>7.4160000000000004</v>
      </c>
      <c r="O383" s="178" t="str">
        <f t="shared" si="310"/>
        <v>X</v>
      </c>
      <c r="P383" s="176">
        <f t="shared" si="311"/>
        <v>17.304000000000006</v>
      </c>
      <c r="Q383" s="178" t="s">
        <v>0</v>
      </c>
      <c r="R383" s="176"/>
      <c r="S383" s="178" t="s">
        <v>2578</v>
      </c>
      <c r="T383" s="178" t="str">
        <f t="shared" si="312"/>
        <v>X</v>
      </c>
      <c r="U383" s="176">
        <f t="shared" si="324"/>
        <v>7.4160000000000004</v>
      </c>
      <c r="V383" s="178" t="str">
        <f t="shared" si="313"/>
        <v xml:space="preserve"> </v>
      </c>
      <c r="W383" s="176">
        <f t="shared" si="325"/>
        <v>0</v>
      </c>
      <c r="X383" s="178" t="str">
        <f t="shared" si="314"/>
        <v xml:space="preserve"> </v>
      </c>
      <c r="Y383" s="176">
        <f t="shared" si="326"/>
        <v>0</v>
      </c>
      <c r="Z383" s="178" t="s">
        <v>2581</v>
      </c>
      <c r="AA383" s="178" t="str">
        <f t="shared" si="315"/>
        <v>X</v>
      </c>
      <c r="AB383" s="176">
        <f t="shared" si="316"/>
        <v>8.6300000000000008</v>
      </c>
      <c r="AC383" s="178" t="str">
        <f t="shared" si="317"/>
        <v xml:space="preserve"> </v>
      </c>
      <c r="AD383" s="176">
        <f t="shared" si="318"/>
        <v>0</v>
      </c>
      <c r="AE383" s="178" t="str">
        <f t="shared" si="319"/>
        <v xml:space="preserve"> </v>
      </c>
      <c r="AF383" s="176">
        <f t="shared" si="320"/>
        <v>0</v>
      </c>
      <c r="AG383" s="178" t="str">
        <f t="shared" si="321"/>
        <v/>
      </c>
      <c r="AH383" s="176">
        <f t="shared" si="322"/>
        <v>0</v>
      </c>
    </row>
    <row r="384" spans="2:34" ht="16.5" outlineLevel="1" x14ac:dyDescent="0.25">
      <c r="B384" s="175" t="s">
        <v>2811</v>
      </c>
      <c r="C384" s="176">
        <v>7.71</v>
      </c>
      <c r="D384" s="176">
        <v>12.07</v>
      </c>
      <c r="E384" s="194">
        <v>3</v>
      </c>
      <c r="F384" s="194">
        <v>2.1</v>
      </c>
      <c r="G384" s="194">
        <f t="shared" si="323"/>
        <v>0.89999999999999991</v>
      </c>
      <c r="H384" s="176">
        <v>1.85</v>
      </c>
      <c r="I384" s="178" t="str">
        <f t="shared" si="304"/>
        <v>X</v>
      </c>
      <c r="J384" s="176">
        <f t="shared" si="305"/>
        <v>30.660000000000004</v>
      </c>
      <c r="K384" s="178" t="str">
        <f t="shared" si="306"/>
        <v>X</v>
      </c>
      <c r="L384" s="176">
        <f t="shared" si="307"/>
        <v>21.462000000000003</v>
      </c>
      <c r="M384" s="178" t="str">
        <f t="shared" si="308"/>
        <v>X</v>
      </c>
      <c r="N384" s="177">
        <f t="shared" si="309"/>
        <v>9.1980000000000004</v>
      </c>
      <c r="O384" s="178" t="str">
        <f t="shared" si="310"/>
        <v>X</v>
      </c>
      <c r="P384" s="176">
        <f t="shared" si="311"/>
        <v>21.462000000000003</v>
      </c>
      <c r="Q384" s="178" t="s">
        <v>0</v>
      </c>
      <c r="R384" s="176"/>
      <c r="S384" s="178" t="s">
        <v>2578</v>
      </c>
      <c r="T384" s="178" t="str">
        <f t="shared" si="312"/>
        <v>X</v>
      </c>
      <c r="U384" s="176">
        <f t="shared" si="324"/>
        <v>9.1980000000000004</v>
      </c>
      <c r="V384" s="178" t="str">
        <f t="shared" si="313"/>
        <v xml:space="preserve"> </v>
      </c>
      <c r="W384" s="176">
        <f t="shared" si="325"/>
        <v>0</v>
      </c>
      <c r="X384" s="178" t="str">
        <f t="shared" si="314"/>
        <v xml:space="preserve"> </v>
      </c>
      <c r="Y384" s="176">
        <f t="shared" si="326"/>
        <v>0</v>
      </c>
      <c r="Z384" s="178" t="s">
        <v>2581</v>
      </c>
      <c r="AA384" s="178" t="str">
        <f t="shared" si="315"/>
        <v>X</v>
      </c>
      <c r="AB384" s="176">
        <f t="shared" si="316"/>
        <v>7.71</v>
      </c>
      <c r="AC384" s="178" t="str">
        <f t="shared" si="317"/>
        <v xml:space="preserve"> </v>
      </c>
      <c r="AD384" s="176">
        <f t="shared" si="318"/>
        <v>0</v>
      </c>
      <c r="AE384" s="178" t="str">
        <f t="shared" si="319"/>
        <v xml:space="preserve"> </v>
      </c>
      <c r="AF384" s="176">
        <f t="shared" si="320"/>
        <v>0</v>
      </c>
      <c r="AG384" s="178" t="str">
        <f t="shared" si="321"/>
        <v/>
      </c>
      <c r="AH384" s="176">
        <f t="shared" si="322"/>
        <v>0</v>
      </c>
    </row>
    <row r="385" spans="2:34" ht="16.5" outlineLevel="1" x14ac:dyDescent="0.25">
      <c r="B385" s="175" t="s">
        <v>2812</v>
      </c>
      <c r="C385" s="176">
        <v>8.64</v>
      </c>
      <c r="D385" s="176">
        <v>13</v>
      </c>
      <c r="E385" s="194">
        <v>3</v>
      </c>
      <c r="F385" s="194">
        <v>2.1</v>
      </c>
      <c r="G385" s="194">
        <f t="shared" si="323"/>
        <v>0.89999999999999991</v>
      </c>
      <c r="H385" s="176">
        <v>1.87</v>
      </c>
      <c r="I385" s="178" t="str">
        <f t="shared" si="304"/>
        <v>X</v>
      </c>
      <c r="J385" s="176">
        <f t="shared" si="305"/>
        <v>33.39</v>
      </c>
      <c r="K385" s="178" t="str">
        <f t="shared" si="306"/>
        <v>X</v>
      </c>
      <c r="L385" s="176">
        <f t="shared" si="307"/>
        <v>23.372999999999998</v>
      </c>
      <c r="M385" s="178" t="str">
        <f t="shared" si="308"/>
        <v>X</v>
      </c>
      <c r="N385" s="177">
        <f t="shared" si="309"/>
        <v>10.017000000000003</v>
      </c>
      <c r="O385" s="178" t="str">
        <f t="shared" si="310"/>
        <v>X</v>
      </c>
      <c r="P385" s="176">
        <f t="shared" si="311"/>
        <v>23.372999999999998</v>
      </c>
      <c r="Q385" s="178" t="s">
        <v>0</v>
      </c>
      <c r="R385" s="176"/>
      <c r="S385" s="178" t="s">
        <v>2578</v>
      </c>
      <c r="T385" s="178" t="str">
        <f t="shared" si="312"/>
        <v>X</v>
      </c>
      <c r="U385" s="176">
        <f t="shared" si="324"/>
        <v>10.017000000000003</v>
      </c>
      <c r="V385" s="178" t="str">
        <f t="shared" si="313"/>
        <v xml:space="preserve"> </v>
      </c>
      <c r="W385" s="176">
        <f t="shared" si="325"/>
        <v>0</v>
      </c>
      <c r="X385" s="178" t="str">
        <f t="shared" si="314"/>
        <v xml:space="preserve"> </v>
      </c>
      <c r="Y385" s="176">
        <f t="shared" si="326"/>
        <v>0</v>
      </c>
      <c r="Z385" s="178" t="s">
        <v>2581</v>
      </c>
      <c r="AA385" s="178" t="str">
        <f t="shared" si="315"/>
        <v>X</v>
      </c>
      <c r="AB385" s="176">
        <f t="shared" si="316"/>
        <v>8.64</v>
      </c>
      <c r="AC385" s="178" t="str">
        <f t="shared" si="317"/>
        <v xml:space="preserve"> </v>
      </c>
      <c r="AD385" s="176">
        <f t="shared" si="318"/>
        <v>0</v>
      </c>
      <c r="AE385" s="178" t="str">
        <f t="shared" si="319"/>
        <v xml:space="preserve"> </v>
      </c>
      <c r="AF385" s="176">
        <f t="shared" si="320"/>
        <v>0</v>
      </c>
      <c r="AG385" s="178" t="str">
        <f t="shared" si="321"/>
        <v/>
      </c>
      <c r="AH385" s="176">
        <f t="shared" si="322"/>
        <v>0</v>
      </c>
    </row>
    <row r="386" spans="2:34" ht="16.5" outlineLevel="1" x14ac:dyDescent="0.25">
      <c r="B386" s="175" t="s">
        <v>2813</v>
      </c>
      <c r="C386" s="176">
        <v>11.9</v>
      </c>
      <c r="D386" s="176">
        <v>16.5</v>
      </c>
      <c r="E386" s="194">
        <v>3</v>
      </c>
      <c r="F386" s="194">
        <v>2.1</v>
      </c>
      <c r="G386" s="194">
        <f t="shared" si="323"/>
        <v>0.89999999999999991</v>
      </c>
      <c r="H386" s="176">
        <v>1.3</v>
      </c>
      <c r="I386" s="178" t="str">
        <f t="shared" si="304"/>
        <v>X</v>
      </c>
      <c r="J386" s="176">
        <f t="shared" si="305"/>
        <v>45.599999999999994</v>
      </c>
      <c r="K386" s="178" t="str">
        <f t="shared" si="306"/>
        <v>X</v>
      </c>
      <c r="L386" s="176">
        <f t="shared" si="307"/>
        <v>31.919999999999998</v>
      </c>
      <c r="M386" s="178" t="str">
        <f t="shared" si="308"/>
        <v>X</v>
      </c>
      <c r="N386" s="177">
        <f t="shared" si="309"/>
        <v>13.679999999999996</v>
      </c>
      <c r="O386" s="178" t="str">
        <f t="shared" si="310"/>
        <v>X</v>
      </c>
      <c r="P386" s="176">
        <f t="shared" si="311"/>
        <v>31.919999999999998</v>
      </c>
      <c r="Q386" s="178" t="s">
        <v>0</v>
      </c>
      <c r="R386" s="176"/>
      <c r="S386" s="178" t="s">
        <v>2578</v>
      </c>
      <c r="T386" s="178" t="str">
        <f t="shared" si="312"/>
        <v>X</v>
      </c>
      <c r="U386" s="176">
        <f t="shared" si="324"/>
        <v>13.679999999999996</v>
      </c>
      <c r="V386" s="178" t="str">
        <f t="shared" si="313"/>
        <v xml:space="preserve"> </v>
      </c>
      <c r="W386" s="176">
        <f t="shared" si="325"/>
        <v>0</v>
      </c>
      <c r="X386" s="178" t="str">
        <f t="shared" si="314"/>
        <v xml:space="preserve"> </v>
      </c>
      <c r="Y386" s="176">
        <f t="shared" si="326"/>
        <v>0</v>
      </c>
      <c r="Z386" s="178" t="s">
        <v>2581</v>
      </c>
      <c r="AA386" s="178" t="str">
        <f t="shared" si="315"/>
        <v>X</v>
      </c>
      <c r="AB386" s="176">
        <f t="shared" si="316"/>
        <v>11.9</v>
      </c>
      <c r="AC386" s="178" t="str">
        <f t="shared" si="317"/>
        <v xml:space="preserve"> </v>
      </c>
      <c r="AD386" s="176">
        <f t="shared" si="318"/>
        <v>0</v>
      </c>
      <c r="AE386" s="178" t="str">
        <f t="shared" si="319"/>
        <v xml:space="preserve"> </v>
      </c>
      <c r="AF386" s="176">
        <f t="shared" si="320"/>
        <v>0</v>
      </c>
      <c r="AG386" s="178" t="str">
        <f t="shared" si="321"/>
        <v/>
      </c>
      <c r="AH386" s="176">
        <f t="shared" si="322"/>
        <v>0</v>
      </c>
    </row>
    <row r="387" spans="2:34" ht="16.5" outlineLevel="1" x14ac:dyDescent="0.25">
      <c r="B387" s="175" t="s">
        <v>2814</v>
      </c>
      <c r="C387" s="176">
        <v>5.39</v>
      </c>
      <c r="D387" s="176">
        <v>10.9</v>
      </c>
      <c r="E387" s="194">
        <v>3</v>
      </c>
      <c r="F387" s="194">
        <v>2.1</v>
      </c>
      <c r="G387" s="194">
        <f t="shared" si="323"/>
        <v>0.89999999999999991</v>
      </c>
      <c r="H387" s="176">
        <f>SUM(H384:H386)+1.3</f>
        <v>6.32</v>
      </c>
      <c r="I387" s="178" t="str">
        <f t="shared" si="304"/>
        <v>X</v>
      </c>
      <c r="J387" s="176">
        <f t="shared" si="305"/>
        <v>13.74</v>
      </c>
      <c r="K387" s="178" t="str">
        <f t="shared" si="306"/>
        <v>X</v>
      </c>
      <c r="L387" s="176">
        <f t="shared" si="307"/>
        <v>9.6180000000000003</v>
      </c>
      <c r="M387" s="178" t="str">
        <f t="shared" si="308"/>
        <v>X</v>
      </c>
      <c r="N387" s="177">
        <f t="shared" si="309"/>
        <v>4.1219999999999999</v>
      </c>
      <c r="O387" s="178" t="str">
        <f t="shared" si="310"/>
        <v>X</v>
      </c>
      <c r="P387" s="176">
        <f t="shared" si="311"/>
        <v>9.6180000000000003</v>
      </c>
      <c r="Q387" s="178" t="s">
        <v>0</v>
      </c>
      <c r="R387" s="176"/>
      <c r="S387" s="178" t="s">
        <v>2578</v>
      </c>
      <c r="T387" s="178" t="str">
        <f t="shared" si="312"/>
        <v>X</v>
      </c>
      <c r="U387" s="176">
        <f t="shared" si="324"/>
        <v>4.1219999999999999</v>
      </c>
      <c r="V387" s="178" t="str">
        <f t="shared" si="313"/>
        <v xml:space="preserve"> </v>
      </c>
      <c r="W387" s="176">
        <f t="shared" si="325"/>
        <v>0</v>
      </c>
      <c r="X387" s="178" t="str">
        <f t="shared" si="314"/>
        <v xml:space="preserve"> </v>
      </c>
      <c r="Y387" s="176">
        <f t="shared" si="326"/>
        <v>0</v>
      </c>
      <c r="Z387" s="178" t="s">
        <v>2581</v>
      </c>
      <c r="AA387" s="178" t="str">
        <f t="shared" si="315"/>
        <v>X</v>
      </c>
      <c r="AB387" s="176">
        <f t="shared" si="316"/>
        <v>5.39</v>
      </c>
      <c r="AC387" s="178" t="str">
        <f t="shared" si="317"/>
        <v xml:space="preserve"> </v>
      </c>
      <c r="AD387" s="176">
        <f t="shared" si="318"/>
        <v>0</v>
      </c>
      <c r="AE387" s="178" t="str">
        <f t="shared" si="319"/>
        <v xml:space="preserve"> </v>
      </c>
      <c r="AF387" s="176">
        <f t="shared" si="320"/>
        <v>0</v>
      </c>
      <c r="AG387" s="178" t="str">
        <f t="shared" si="321"/>
        <v/>
      </c>
      <c r="AH387" s="176">
        <f t="shared" si="322"/>
        <v>0</v>
      </c>
    </row>
    <row r="388" spans="2:34" ht="16.5" outlineLevel="1" x14ac:dyDescent="0.25">
      <c r="B388" s="175" t="s">
        <v>2815</v>
      </c>
      <c r="C388" s="176">
        <v>13.66</v>
      </c>
      <c r="D388" s="176">
        <v>16.260000000000002</v>
      </c>
      <c r="E388" s="194">
        <v>3</v>
      </c>
      <c r="F388" s="194">
        <v>2.1</v>
      </c>
      <c r="G388" s="194">
        <f t="shared" si="323"/>
        <v>0.89999999999999991</v>
      </c>
      <c r="H388" s="176"/>
      <c r="I388" s="178" t="str">
        <f t="shared" si="304"/>
        <v>X</v>
      </c>
      <c r="J388" s="176">
        <f t="shared" si="305"/>
        <v>48.78</v>
      </c>
      <c r="K388" s="178" t="str">
        <f t="shared" si="306"/>
        <v>X</v>
      </c>
      <c r="L388" s="176">
        <f t="shared" si="307"/>
        <v>34.146000000000008</v>
      </c>
      <c r="M388" s="178" t="str">
        <f t="shared" si="308"/>
        <v>X</v>
      </c>
      <c r="N388" s="177">
        <f t="shared" si="309"/>
        <v>14.633999999999993</v>
      </c>
      <c r="O388" s="178" t="str">
        <f t="shared" si="310"/>
        <v>X</v>
      </c>
      <c r="P388" s="176">
        <f t="shared" si="311"/>
        <v>34.146000000000008</v>
      </c>
      <c r="Q388" s="178" t="s">
        <v>0</v>
      </c>
      <c r="R388" s="176"/>
      <c r="S388" s="178" t="s">
        <v>2578</v>
      </c>
      <c r="T388" s="178" t="str">
        <f t="shared" si="312"/>
        <v>X</v>
      </c>
      <c r="U388" s="176">
        <f t="shared" si="324"/>
        <v>14.633999999999993</v>
      </c>
      <c r="V388" s="178" t="str">
        <f t="shared" si="313"/>
        <v xml:space="preserve"> </v>
      </c>
      <c r="W388" s="176">
        <f t="shared" si="325"/>
        <v>0</v>
      </c>
      <c r="X388" s="178" t="str">
        <f t="shared" si="314"/>
        <v xml:space="preserve"> </v>
      </c>
      <c r="Y388" s="176">
        <f t="shared" si="326"/>
        <v>0</v>
      </c>
      <c r="Z388" s="178" t="s">
        <v>2581</v>
      </c>
      <c r="AA388" s="178" t="str">
        <f t="shared" si="315"/>
        <v>X</v>
      </c>
      <c r="AB388" s="176">
        <f t="shared" si="316"/>
        <v>13.66</v>
      </c>
      <c r="AC388" s="178" t="str">
        <f t="shared" si="317"/>
        <v xml:space="preserve"> </v>
      </c>
      <c r="AD388" s="176">
        <f t="shared" si="318"/>
        <v>0</v>
      </c>
      <c r="AE388" s="178" t="str">
        <f t="shared" si="319"/>
        <v xml:space="preserve"> </v>
      </c>
      <c r="AF388" s="176">
        <f t="shared" si="320"/>
        <v>0</v>
      </c>
      <c r="AG388" s="178" t="str">
        <f t="shared" si="321"/>
        <v/>
      </c>
      <c r="AH388" s="176">
        <f t="shared" si="322"/>
        <v>0</v>
      </c>
    </row>
    <row r="389" spans="2:34" ht="16.5" outlineLevel="1" x14ac:dyDescent="0.25">
      <c r="B389" s="175" t="s">
        <v>2591</v>
      </c>
      <c r="C389" s="176">
        <v>2.9</v>
      </c>
      <c r="D389" s="176">
        <v>8.2200000000000006</v>
      </c>
      <c r="E389" s="194">
        <v>3</v>
      </c>
      <c r="F389" s="194">
        <v>2.1</v>
      </c>
      <c r="G389" s="194">
        <f t="shared" si="323"/>
        <v>0.89999999999999991</v>
      </c>
      <c r="H389" s="176"/>
      <c r="I389" s="178" t="str">
        <f t="shared" si="304"/>
        <v>X</v>
      </c>
      <c r="J389" s="176">
        <f t="shared" si="305"/>
        <v>24.660000000000004</v>
      </c>
      <c r="K389" s="178" t="str">
        <f t="shared" si="306"/>
        <v>X</v>
      </c>
      <c r="L389" s="176">
        <f t="shared" ref="L389:L394" si="327">IF(K389="X",($D389-H389)*F389,0)</f>
        <v>17.262</v>
      </c>
      <c r="M389" s="178" t="str">
        <f t="shared" si="308"/>
        <v>X</v>
      </c>
      <c r="N389" s="177">
        <f t="shared" si="309"/>
        <v>7.3980000000000032</v>
      </c>
      <c r="O389" s="178" t="str">
        <f t="shared" si="310"/>
        <v>X</v>
      </c>
      <c r="P389" s="176">
        <f t="shared" si="311"/>
        <v>17.262</v>
      </c>
      <c r="Q389" s="178" t="s">
        <v>0</v>
      </c>
      <c r="R389" s="176"/>
      <c r="S389" s="178" t="s">
        <v>2578</v>
      </c>
      <c r="T389" s="178" t="str">
        <f t="shared" si="312"/>
        <v>X</v>
      </c>
      <c r="U389" s="176">
        <f t="shared" si="324"/>
        <v>7.3980000000000032</v>
      </c>
      <c r="V389" s="178" t="str">
        <f t="shared" si="313"/>
        <v xml:space="preserve"> </v>
      </c>
      <c r="W389" s="176">
        <f t="shared" si="325"/>
        <v>0</v>
      </c>
      <c r="X389" s="178" t="str">
        <f t="shared" si="314"/>
        <v xml:space="preserve"> </v>
      </c>
      <c r="Y389" s="176">
        <f t="shared" si="326"/>
        <v>0</v>
      </c>
      <c r="Z389" s="178" t="s">
        <v>2581</v>
      </c>
      <c r="AA389" s="178" t="str">
        <f t="shared" si="315"/>
        <v>X</v>
      </c>
      <c r="AB389" s="176">
        <f t="shared" si="316"/>
        <v>2.9</v>
      </c>
      <c r="AC389" s="178" t="str">
        <f t="shared" si="317"/>
        <v xml:space="preserve"> </v>
      </c>
      <c r="AD389" s="176">
        <f t="shared" si="318"/>
        <v>0</v>
      </c>
      <c r="AE389" s="178" t="str">
        <f t="shared" si="319"/>
        <v xml:space="preserve"> </v>
      </c>
      <c r="AF389" s="176">
        <f t="shared" si="320"/>
        <v>0</v>
      </c>
      <c r="AG389" s="178" t="str">
        <f t="shared" si="321"/>
        <v/>
      </c>
      <c r="AH389" s="176">
        <f t="shared" si="322"/>
        <v>0</v>
      </c>
    </row>
    <row r="390" spans="2:34" ht="16.5" outlineLevel="1" x14ac:dyDescent="0.25">
      <c r="B390" s="175" t="s">
        <v>2816</v>
      </c>
      <c r="C390" s="176">
        <v>8.08</v>
      </c>
      <c r="D390" s="176">
        <v>11.69</v>
      </c>
      <c r="E390" s="194">
        <v>3</v>
      </c>
      <c r="F390" s="194">
        <v>2.1</v>
      </c>
      <c r="G390" s="194">
        <f t="shared" si="323"/>
        <v>0.89999999999999991</v>
      </c>
      <c r="H390" s="176"/>
      <c r="I390" s="178" t="str">
        <f t="shared" si="304"/>
        <v>X</v>
      </c>
      <c r="J390" s="176">
        <f t="shared" si="305"/>
        <v>35.07</v>
      </c>
      <c r="K390" s="178" t="str">
        <f t="shared" si="306"/>
        <v>X</v>
      </c>
      <c r="L390" s="176">
        <f t="shared" si="327"/>
        <v>24.548999999999999</v>
      </c>
      <c r="M390" s="178" t="str">
        <f t="shared" si="308"/>
        <v>X</v>
      </c>
      <c r="N390" s="177">
        <f t="shared" si="309"/>
        <v>10.521000000000001</v>
      </c>
      <c r="O390" s="178" t="str">
        <f t="shared" si="310"/>
        <v>X</v>
      </c>
      <c r="P390" s="176">
        <f t="shared" si="311"/>
        <v>24.548999999999999</v>
      </c>
      <c r="Q390" s="178" t="s">
        <v>0</v>
      </c>
      <c r="R390" s="176"/>
      <c r="S390" s="178" t="s">
        <v>2578</v>
      </c>
      <c r="T390" s="178" t="str">
        <f t="shared" si="312"/>
        <v>X</v>
      </c>
      <c r="U390" s="176">
        <f t="shared" si="324"/>
        <v>10.521000000000001</v>
      </c>
      <c r="V390" s="178" t="str">
        <f t="shared" si="313"/>
        <v xml:space="preserve"> </v>
      </c>
      <c r="W390" s="176">
        <f t="shared" si="325"/>
        <v>0</v>
      </c>
      <c r="X390" s="178" t="str">
        <f t="shared" si="314"/>
        <v xml:space="preserve"> </v>
      </c>
      <c r="Y390" s="176">
        <f t="shared" si="326"/>
        <v>0</v>
      </c>
      <c r="Z390" s="178" t="s">
        <v>2581</v>
      </c>
      <c r="AA390" s="178" t="str">
        <f t="shared" si="315"/>
        <v>X</v>
      </c>
      <c r="AB390" s="176">
        <f t="shared" si="316"/>
        <v>8.08</v>
      </c>
      <c r="AC390" s="178" t="str">
        <f t="shared" si="317"/>
        <v xml:space="preserve"> </v>
      </c>
      <c r="AD390" s="176">
        <f t="shared" si="318"/>
        <v>0</v>
      </c>
      <c r="AE390" s="178" t="str">
        <f t="shared" si="319"/>
        <v xml:space="preserve"> </v>
      </c>
      <c r="AF390" s="176">
        <f t="shared" si="320"/>
        <v>0</v>
      </c>
      <c r="AG390" s="178" t="str">
        <f t="shared" si="321"/>
        <v/>
      </c>
      <c r="AH390" s="176">
        <f t="shared" si="322"/>
        <v>0</v>
      </c>
    </row>
    <row r="391" spans="2:34" ht="16.5" outlineLevel="1" x14ac:dyDescent="0.25">
      <c r="B391" s="175" t="s">
        <v>2817</v>
      </c>
      <c r="C391" s="176">
        <v>8.07</v>
      </c>
      <c r="D391" s="176">
        <v>11.68</v>
      </c>
      <c r="E391" s="194">
        <v>3</v>
      </c>
      <c r="F391" s="194">
        <v>2.1</v>
      </c>
      <c r="G391" s="194">
        <f t="shared" si="323"/>
        <v>0.89999999999999991</v>
      </c>
      <c r="H391" s="176"/>
      <c r="I391" s="178" t="str">
        <f t="shared" si="304"/>
        <v>X</v>
      </c>
      <c r="J391" s="176">
        <f t="shared" si="305"/>
        <v>35.04</v>
      </c>
      <c r="K391" s="178" t="str">
        <f t="shared" si="306"/>
        <v>X</v>
      </c>
      <c r="L391" s="176">
        <f t="shared" si="327"/>
        <v>24.527999999999999</v>
      </c>
      <c r="M391" s="178" t="str">
        <f t="shared" si="308"/>
        <v>X</v>
      </c>
      <c r="N391" s="177">
        <f t="shared" si="309"/>
        <v>10.512</v>
      </c>
      <c r="O391" s="178" t="str">
        <f t="shared" si="310"/>
        <v>X</v>
      </c>
      <c r="P391" s="176">
        <f t="shared" si="311"/>
        <v>24.527999999999999</v>
      </c>
      <c r="Q391" s="178" t="s">
        <v>0</v>
      </c>
      <c r="R391" s="176"/>
      <c r="S391" s="178" t="s">
        <v>2578</v>
      </c>
      <c r="T391" s="178" t="str">
        <f t="shared" si="312"/>
        <v>X</v>
      </c>
      <c r="U391" s="176">
        <f t="shared" si="324"/>
        <v>10.512</v>
      </c>
      <c r="V391" s="178" t="str">
        <f t="shared" si="313"/>
        <v xml:space="preserve"> </v>
      </c>
      <c r="W391" s="176">
        <f t="shared" si="325"/>
        <v>0</v>
      </c>
      <c r="X391" s="178" t="str">
        <f t="shared" si="314"/>
        <v xml:space="preserve"> </v>
      </c>
      <c r="Y391" s="176">
        <f t="shared" si="326"/>
        <v>0</v>
      </c>
      <c r="Z391" s="178" t="s">
        <v>2581</v>
      </c>
      <c r="AA391" s="178" t="str">
        <f t="shared" si="315"/>
        <v>X</v>
      </c>
      <c r="AB391" s="176">
        <f t="shared" si="316"/>
        <v>8.07</v>
      </c>
      <c r="AC391" s="178" t="str">
        <f t="shared" si="317"/>
        <v xml:space="preserve"> </v>
      </c>
      <c r="AD391" s="176">
        <f t="shared" si="318"/>
        <v>0</v>
      </c>
      <c r="AE391" s="178" t="str">
        <f t="shared" si="319"/>
        <v xml:space="preserve"> </v>
      </c>
      <c r="AF391" s="176">
        <f t="shared" si="320"/>
        <v>0</v>
      </c>
      <c r="AG391" s="178" t="str">
        <f t="shared" si="321"/>
        <v/>
      </c>
      <c r="AH391" s="176">
        <f t="shared" si="322"/>
        <v>0</v>
      </c>
    </row>
    <row r="392" spans="2:34" ht="16.5" outlineLevel="1" x14ac:dyDescent="0.25">
      <c r="B392" s="175" t="s">
        <v>2818</v>
      </c>
      <c r="C392" s="176">
        <v>34.75</v>
      </c>
      <c r="D392" s="176">
        <v>26.76</v>
      </c>
      <c r="E392" s="194">
        <v>3</v>
      </c>
      <c r="F392" s="194">
        <v>2.1</v>
      </c>
      <c r="G392" s="194">
        <f t="shared" si="323"/>
        <v>0.89999999999999991</v>
      </c>
      <c r="H392" s="176"/>
      <c r="I392" s="178" t="str">
        <f t="shared" si="304"/>
        <v>X</v>
      </c>
      <c r="J392" s="176">
        <f t="shared" si="305"/>
        <v>80.28</v>
      </c>
      <c r="K392" s="178" t="str">
        <f t="shared" si="306"/>
        <v>X</v>
      </c>
      <c r="L392" s="176">
        <f t="shared" si="327"/>
        <v>56.196000000000005</v>
      </c>
      <c r="M392" s="178" t="str">
        <f t="shared" si="308"/>
        <v>X</v>
      </c>
      <c r="N392" s="177">
        <f t="shared" si="309"/>
        <v>24.083999999999996</v>
      </c>
      <c r="O392" s="178" t="str">
        <f t="shared" si="310"/>
        <v>X</v>
      </c>
      <c r="P392" s="176">
        <f t="shared" si="311"/>
        <v>56.196000000000005</v>
      </c>
      <c r="Q392" s="178" t="s">
        <v>0</v>
      </c>
      <c r="R392" s="176"/>
      <c r="S392" s="178" t="s">
        <v>2578</v>
      </c>
      <c r="T392" s="178" t="str">
        <f t="shared" si="312"/>
        <v>X</v>
      </c>
      <c r="U392" s="176">
        <f t="shared" si="324"/>
        <v>24.083999999999996</v>
      </c>
      <c r="V392" s="178" t="str">
        <f t="shared" si="313"/>
        <v xml:space="preserve"> </v>
      </c>
      <c r="W392" s="176">
        <f t="shared" si="325"/>
        <v>0</v>
      </c>
      <c r="X392" s="178" t="str">
        <f t="shared" si="314"/>
        <v xml:space="preserve"> </v>
      </c>
      <c r="Y392" s="176">
        <f t="shared" si="326"/>
        <v>0</v>
      </c>
      <c r="Z392" s="178" t="s">
        <v>2581</v>
      </c>
      <c r="AA392" s="178" t="str">
        <f t="shared" si="315"/>
        <v>X</v>
      </c>
      <c r="AB392" s="176">
        <f t="shared" si="316"/>
        <v>34.75</v>
      </c>
      <c r="AC392" s="178" t="str">
        <f t="shared" si="317"/>
        <v xml:space="preserve"> </v>
      </c>
      <c r="AD392" s="176">
        <f t="shared" si="318"/>
        <v>0</v>
      </c>
      <c r="AE392" s="178" t="str">
        <f t="shared" si="319"/>
        <v xml:space="preserve"> </v>
      </c>
      <c r="AF392" s="176">
        <f t="shared" si="320"/>
        <v>0</v>
      </c>
      <c r="AG392" s="178" t="str">
        <f t="shared" si="321"/>
        <v/>
      </c>
      <c r="AH392" s="176">
        <f t="shared" si="322"/>
        <v>0</v>
      </c>
    </row>
    <row r="393" spans="2:34" ht="16.5" outlineLevel="1" x14ac:dyDescent="0.25">
      <c r="B393" s="175" t="s">
        <v>2682</v>
      </c>
      <c r="C393" s="176">
        <v>12.59</v>
      </c>
      <c r="D393" s="176">
        <v>14.73</v>
      </c>
      <c r="E393" s="194">
        <v>3</v>
      </c>
      <c r="F393" s="194">
        <v>0</v>
      </c>
      <c r="G393" s="194">
        <f t="shared" si="323"/>
        <v>3</v>
      </c>
      <c r="H393" s="176"/>
      <c r="I393" s="178" t="str">
        <f t="shared" si="304"/>
        <v>X</v>
      </c>
      <c r="J393" s="176">
        <f t="shared" si="305"/>
        <v>44.19</v>
      </c>
      <c r="K393" s="178" t="str">
        <f t="shared" si="306"/>
        <v xml:space="preserve"> </v>
      </c>
      <c r="L393" s="176">
        <f t="shared" si="327"/>
        <v>0</v>
      </c>
      <c r="M393" s="178" t="str">
        <f t="shared" si="308"/>
        <v>X</v>
      </c>
      <c r="N393" s="177">
        <f t="shared" si="309"/>
        <v>44.19</v>
      </c>
      <c r="O393" s="178" t="str">
        <f t="shared" si="310"/>
        <v xml:space="preserve"> </v>
      </c>
      <c r="P393" s="176">
        <f t="shared" si="311"/>
        <v>0</v>
      </c>
      <c r="Q393" s="178" t="s">
        <v>0</v>
      </c>
      <c r="R393" s="176"/>
      <c r="S393" s="178" t="s">
        <v>2578</v>
      </c>
      <c r="T393" s="178" t="str">
        <f t="shared" si="312"/>
        <v>X</v>
      </c>
      <c r="U393" s="176">
        <f t="shared" si="324"/>
        <v>44.19</v>
      </c>
      <c r="V393" s="178" t="str">
        <f t="shared" si="313"/>
        <v xml:space="preserve"> </v>
      </c>
      <c r="W393" s="176">
        <f t="shared" si="325"/>
        <v>0</v>
      </c>
      <c r="X393" s="178" t="str">
        <f t="shared" si="314"/>
        <v xml:space="preserve"> </v>
      </c>
      <c r="Y393" s="176">
        <f t="shared" si="326"/>
        <v>0</v>
      </c>
      <c r="Z393" s="178" t="s">
        <v>2581</v>
      </c>
      <c r="AA393" s="178" t="str">
        <f t="shared" si="315"/>
        <v>X</v>
      </c>
      <c r="AB393" s="176">
        <f t="shared" si="316"/>
        <v>12.59</v>
      </c>
      <c r="AC393" s="178" t="str">
        <f t="shared" si="317"/>
        <v xml:space="preserve"> </v>
      </c>
      <c r="AD393" s="176">
        <f t="shared" si="318"/>
        <v>0</v>
      </c>
      <c r="AE393" s="178" t="str">
        <f t="shared" si="319"/>
        <v xml:space="preserve"> </v>
      </c>
      <c r="AF393" s="176">
        <f t="shared" si="320"/>
        <v>0</v>
      </c>
      <c r="AG393" s="178" t="str">
        <f t="shared" si="321"/>
        <v>X</v>
      </c>
      <c r="AH393" s="176">
        <f t="shared" si="322"/>
        <v>14.73</v>
      </c>
    </row>
    <row r="394" spans="2:34" ht="16.5" outlineLevel="1" x14ac:dyDescent="0.25">
      <c r="B394" s="175" t="s">
        <v>2819</v>
      </c>
      <c r="C394" s="176">
        <v>2.2200000000000002</v>
      </c>
      <c r="D394" s="176">
        <v>6.6</v>
      </c>
      <c r="E394" s="194">
        <v>3</v>
      </c>
      <c r="F394" s="194">
        <v>2.1</v>
      </c>
      <c r="G394" s="194">
        <f t="shared" si="323"/>
        <v>0.89999999999999991</v>
      </c>
      <c r="H394" s="176"/>
      <c r="I394" s="178" t="str">
        <f t="shared" si="304"/>
        <v>X</v>
      </c>
      <c r="J394" s="176">
        <f t="shared" si="305"/>
        <v>19.799999999999997</v>
      </c>
      <c r="K394" s="178" t="str">
        <f t="shared" si="306"/>
        <v>X</v>
      </c>
      <c r="L394" s="176">
        <f t="shared" si="327"/>
        <v>13.86</v>
      </c>
      <c r="M394" s="178" t="str">
        <f t="shared" si="308"/>
        <v>X</v>
      </c>
      <c r="N394" s="177">
        <f t="shared" si="309"/>
        <v>5.9399999999999977</v>
      </c>
      <c r="O394" s="178" t="str">
        <f t="shared" si="310"/>
        <v>X</v>
      </c>
      <c r="P394" s="176">
        <f t="shared" si="311"/>
        <v>13.86</v>
      </c>
      <c r="Q394" s="178" t="s">
        <v>0</v>
      </c>
      <c r="R394" s="176"/>
      <c r="S394" s="178" t="s">
        <v>2578</v>
      </c>
      <c r="T394" s="178" t="str">
        <f t="shared" si="312"/>
        <v>X</v>
      </c>
      <c r="U394" s="176">
        <f t="shared" si="324"/>
        <v>5.9399999999999977</v>
      </c>
      <c r="V394" s="178" t="str">
        <f t="shared" si="313"/>
        <v xml:space="preserve"> </v>
      </c>
      <c r="W394" s="176">
        <f t="shared" si="325"/>
        <v>0</v>
      </c>
      <c r="X394" s="178" t="str">
        <f t="shared" si="314"/>
        <v xml:space="preserve"> </v>
      </c>
      <c r="Y394" s="176">
        <f t="shared" si="326"/>
        <v>0</v>
      </c>
      <c r="Z394" s="178" t="s">
        <v>2581</v>
      </c>
      <c r="AA394" s="178" t="str">
        <f t="shared" si="315"/>
        <v>X</v>
      </c>
      <c r="AB394" s="176">
        <f t="shared" si="316"/>
        <v>2.2200000000000002</v>
      </c>
      <c r="AC394" s="178" t="str">
        <f t="shared" si="317"/>
        <v xml:space="preserve"> </v>
      </c>
      <c r="AD394" s="176">
        <f t="shared" si="318"/>
        <v>0</v>
      </c>
      <c r="AE394" s="178" t="str">
        <f t="shared" si="319"/>
        <v xml:space="preserve"> </v>
      </c>
      <c r="AF394" s="176">
        <f t="shared" si="320"/>
        <v>0</v>
      </c>
      <c r="AG394" s="178" t="str">
        <f t="shared" si="321"/>
        <v/>
      </c>
      <c r="AH394" s="176">
        <f t="shared" si="322"/>
        <v>0</v>
      </c>
    </row>
    <row r="395" spans="2:34" ht="16.5" outlineLevel="1" x14ac:dyDescent="0.25">
      <c r="B395" s="175" t="s">
        <v>2594</v>
      </c>
      <c r="C395" s="176">
        <v>27.91</v>
      </c>
      <c r="D395" s="176">
        <v>36.57</v>
      </c>
      <c r="E395" s="194">
        <v>3</v>
      </c>
      <c r="F395" s="194">
        <v>2.1</v>
      </c>
      <c r="G395" s="194">
        <f t="shared" si="323"/>
        <v>0.89999999999999991</v>
      </c>
      <c r="H395" s="176"/>
      <c r="I395" s="178" t="str">
        <f t="shared" si="304"/>
        <v>X</v>
      </c>
      <c r="J395" s="176">
        <f>IF(I395="X",($D395-H395)*E395,0)</f>
        <v>109.71000000000001</v>
      </c>
      <c r="K395" s="178" t="str">
        <f t="shared" si="306"/>
        <v>X</v>
      </c>
      <c r="L395" s="176">
        <f>IF(K395="X",($D395-H395)*F395,0)</f>
        <v>76.796999999999997</v>
      </c>
      <c r="M395" s="178" t="str">
        <f t="shared" si="308"/>
        <v>X</v>
      </c>
      <c r="N395" s="177">
        <f>IF(M395="X",J395-L395,0)</f>
        <v>32.913000000000011</v>
      </c>
      <c r="O395" s="178" t="str">
        <f t="shared" si="310"/>
        <v>X</v>
      </c>
      <c r="P395" s="176">
        <f>IF(L395&gt;0,L395,0)</f>
        <v>76.796999999999997</v>
      </c>
      <c r="Q395" s="178" t="s">
        <v>0</v>
      </c>
      <c r="R395" s="176"/>
      <c r="S395" s="178" t="s">
        <v>2578</v>
      </c>
      <c r="T395" s="178" t="str">
        <f t="shared" si="312"/>
        <v>X</v>
      </c>
      <c r="U395" s="176">
        <f t="shared" si="324"/>
        <v>32.913000000000011</v>
      </c>
      <c r="V395" s="178" t="str">
        <f t="shared" si="313"/>
        <v xml:space="preserve"> </v>
      </c>
      <c r="W395" s="176">
        <f t="shared" si="325"/>
        <v>0</v>
      </c>
      <c r="X395" s="178" t="str">
        <f t="shared" si="314"/>
        <v xml:space="preserve"> </v>
      </c>
      <c r="Y395" s="176">
        <f t="shared" si="326"/>
        <v>0</v>
      </c>
      <c r="Z395" s="178" t="s">
        <v>2581</v>
      </c>
      <c r="AA395" s="178" t="str">
        <f t="shared" si="315"/>
        <v>X</v>
      </c>
      <c r="AB395" s="176">
        <f t="shared" si="316"/>
        <v>27.91</v>
      </c>
      <c r="AC395" s="178" t="str">
        <f t="shared" si="317"/>
        <v xml:space="preserve"> </v>
      </c>
      <c r="AD395" s="176">
        <f t="shared" si="318"/>
        <v>0</v>
      </c>
      <c r="AE395" s="178" t="str">
        <f t="shared" si="319"/>
        <v xml:space="preserve"> </v>
      </c>
      <c r="AF395" s="176">
        <f t="shared" si="320"/>
        <v>0</v>
      </c>
      <c r="AG395" s="178" t="str">
        <f t="shared" si="321"/>
        <v/>
      </c>
      <c r="AH395" s="176">
        <f t="shared" si="322"/>
        <v>0</v>
      </c>
    </row>
    <row r="396" spans="2:34" ht="16.5" x14ac:dyDescent="0.25">
      <c r="B396" s="182"/>
      <c r="C396" s="185"/>
      <c r="D396" s="185"/>
      <c r="E396" s="185"/>
      <c r="F396" s="185"/>
      <c r="G396" s="185"/>
      <c r="H396" s="185"/>
      <c r="I396" s="184"/>
      <c r="J396" s="185"/>
      <c r="K396" s="184"/>
      <c r="L396" s="185"/>
      <c r="M396" s="184"/>
      <c r="N396" s="185"/>
      <c r="O396" s="201"/>
      <c r="P396" s="185"/>
      <c r="Q396" s="184"/>
      <c r="R396" s="189"/>
      <c r="S396" s="185"/>
      <c r="T396" s="184"/>
      <c r="U396" s="185"/>
      <c r="V396" s="184"/>
      <c r="W396" s="185"/>
      <c r="X396" s="184"/>
      <c r="Y396" s="189"/>
      <c r="Z396" s="185"/>
      <c r="AA396" s="184"/>
      <c r="AB396" s="185"/>
      <c r="AC396" s="184"/>
      <c r="AD396" s="185"/>
      <c r="AE396" s="184"/>
      <c r="AF396" s="189"/>
      <c r="AG396" s="184"/>
      <c r="AH396" s="189"/>
    </row>
    <row r="397" spans="2:34" ht="16.5" x14ac:dyDescent="0.25">
      <c r="B397" s="195" t="s">
        <v>2820</v>
      </c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7"/>
      <c r="S397" s="196"/>
      <c r="T397" s="196"/>
      <c r="U397" s="196"/>
      <c r="V397" s="196"/>
      <c r="W397" s="196"/>
      <c r="X397" s="196"/>
      <c r="Y397" s="197"/>
      <c r="Z397" s="196"/>
      <c r="AA397" s="196"/>
      <c r="AB397" s="196"/>
      <c r="AC397" s="196"/>
      <c r="AD397" s="196"/>
      <c r="AE397" s="196"/>
      <c r="AF397" s="197"/>
      <c r="AG397" s="196"/>
      <c r="AH397" s="197"/>
    </row>
    <row r="398" spans="2:34" ht="16.5" x14ac:dyDescent="0.25">
      <c r="B398" s="929" t="s">
        <v>2821</v>
      </c>
      <c r="C398" s="930"/>
      <c r="D398" s="930"/>
      <c r="E398" s="930"/>
      <c r="F398" s="930"/>
      <c r="G398" s="930"/>
      <c r="H398" s="931"/>
      <c r="I398" s="190" t="s">
        <v>2586</v>
      </c>
      <c r="J398" s="191">
        <f>SUBTOTAL(9,J399:J424)</f>
        <v>1349.13</v>
      </c>
      <c r="K398" s="192" t="s">
        <v>2586</v>
      </c>
      <c r="L398" s="191">
        <f>SUBTOTAL(9,L399:L424)</f>
        <v>251.49599999999998</v>
      </c>
      <c r="M398" s="190" t="s">
        <v>2586</v>
      </c>
      <c r="N398" s="200">
        <f>SUBTOTAL(9,N399:N424)</f>
        <v>1097.634</v>
      </c>
      <c r="O398" s="190" t="s">
        <v>2586</v>
      </c>
      <c r="P398" s="191">
        <f>SUBTOTAL(9,P399:P424)</f>
        <v>260.49599999999998</v>
      </c>
      <c r="Q398" s="190" t="s">
        <v>2586</v>
      </c>
      <c r="R398" s="191">
        <f>SUBTOTAL(9,R399:R424)</f>
        <v>0</v>
      </c>
      <c r="S398" s="191"/>
      <c r="T398" s="190" t="s">
        <v>2586</v>
      </c>
      <c r="U398" s="200">
        <f>SUBTOTAL(9,U399:U424)</f>
        <v>1097.634</v>
      </c>
      <c r="V398" s="190" t="s">
        <v>2586</v>
      </c>
      <c r="W398" s="191">
        <f>SUBTOTAL(9,W399:W424)</f>
        <v>0</v>
      </c>
      <c r="X398" s="190" t="s">
        <v>2586</v>
      </c>
      <c r="Y398" s="191">
        <f>SUBTOTAL(9,Y399:Y424)</f>
        <v>0</v>
      </c>
      <c r="Z398" s="191"/>
      <c r="AA398" s="190" t="s">
        <v>2586</v>
      </c>
      <c r="AB398" s="200">
        <f>SUBTOTAL(9,AB399:AB424)</f>
        <v>303.64</v>
      </c>
      <c r="AC398" s="190" t="s">
        <v>2586</v>
      </c>
      <c r="AD398" s="191">
        <f>SUBTOTAL(9,AD399:AD424)</f>
        <v>120.08</v>
      </c>
      <c r="AE398" s="190" t="s">
        <v>2586</v>
      </c>
      <c r="AF398" s="191">
        <f>SUBTOTAL(9,AF399:AF424)</f>
        <v>0</v>
      </c>
      <c r="AG398" s="190" t="s">
        <v>2586</v>
      </c>
      <c r="AH398" s="191">
        <f>SUBTOTAL(9,AH399:AH424)</f>
        <v>329.95</v>
      </c>
    </row>
    <row r="399" spans="2:34" ht="16.5" outlineLevel="1" x14ac:dyDescent="0.25">
      <c r="B399" s="175" t="s">
        <v>2642</v>
      </c>
      <c r="C399" s="176">
        <v>27.69</v>
      </c>
      <c r="D399" s="176">
        <v>21.92</v>
      </c>
      <c r="E399" s="194">
        <v>3</v>
      </c>
      <c r="F399" s="194">
        <v>0</v>
      </c>
      <c r="G399" s="194">
        <f>E399-F399</f>
        <v>3</v>
      </c>
      <c r="H399" s="176"/>
      <c r="I399" s="178" t="str">
        <f t="shared" ref="I399:I424" si="328">IF($E399&gt;0,"X"," ")</f>
        <v>X</v>
      </c>
      <c r="J399" s="176">
        <f t="shared" ref="J399:J413" si="329">IF(I399="X",($D399-H399)*E399,0)</f>
        <v>65.760000000000005</v>
      </c>
      <c r="K399" s="178" t="str">
        <f t="shared" ref="K399:K424" si="330">IF($F399&gt;0,"X"," ")</f>
        <v xml:space="preserve"> </v>
      </c>
      <c r="L399" s="176">
        <f t="shared" ref="L399:L413" si="331">IF(K399="X",($D399-H399)*F399,0)</f>
        <v>0</v>
      </c>
      <c r="M399" s="178" t="str">
        <f t="shared" ref="M399:M424" si="332">IF($E399&gt;0,"X"," ")</f>
        <v>X</v>
      </c>
      <c r="N399" s="177">
        <f t="shared" ref="N399:N413" si="333">IF(M399="X",J399-L399,0)</f>
        <v>65.760000000000005</v>
      </c>
      <c r="O399" s="178" t="str">
        <f t="shared" ref="O399:O424" si="334">IF($F399&gt;0,"X"," ")</f>
        <v xml:space="preserve"> </v>
      </c>
      <c r="P399" s="176">
        <v>1</v>
      </c>
      <c r="Q399" s="178" t="s">
        <v>0</v>
      </c>
      <c r="R399" s="176"/>
      <c r="S399" s="178" t="s">
        <v>2578</v>
      </c>
      <c r="T399" s="178" t="str">
        <f t="shared" ref="T399:T453" si="335">IF($S399="ACRÍLICA","X"," ")</f>
        <v>X</v>
      </c>
      <c r="U399" s="176">
        <f>IF(T399="X",$N399,0)</f>
        <v>65.760000000000005</v>
      </c>
      <c r="V399" s="178" t="str">
        <f t="shared" ref="V399:V453" si="336">IF($S399="EPÓXI","X"," ")</f>
        <v xml:space="preserve"> </v>
      </c>
      <c r="W399" s="176">
        <f>IF(V399="X",$N399,0)</f>
        <v>0</v>
      </c>
      <c r="X399" s="178" t="str">
        <f t="shared" ref="X399:X453" si="337">IF($S399="TEXTURA","X"," ")</f>
        <v xml:space="preserve"> </v>
      </c>
      <c r="Y399" s="176">
        <f>IF(X399="X",$N399,0)</f>
        <v>0</v>
      </c>
      <c r="Z399" s="178" t="s">
        <v>2581</v>
      </c>
      <c r="AA399" s="178" t="str">
        <f t="shared" ref="AA399:AA453" si="338">IF($Z399="ACARTONADO","X"," ")</f>
        <v>X</v>
      </c>
      <c r="AB399" s="176">
        <f t="shared" ref="AB399:AB453" si="339">IF(AA399="X",$C399,0)</f>
        <v>27.69</v>
      </c>
      <c r="AC399" s="178" t="str">
        <f t="shared" ref="AC399:AC453" si="340">IF($Z399="MINERAL","X"," ")</f>
        <v xml:space="preserve"> </v>
      </c>
      <c r="AD399" s="176">
        <f t="shared" ref="AD399:AD453" si="341">IF(AC399="X",$C399,0)</f>
        <v>0</v>
      </c>
      <c r="AE399" s="178" t="str">
        <f t="shared" ref="AE399:AE453" si="342">IF($Z399="LAJE","X"," ")</f>
        <v xml:space="preserve"> </v>
      </c>
      <c r="AF399" s="176">
        <f t="shared" ref="AF399:AF453" si="343">IF(AE399="X",$C399,0)</f>
        <v>0</v>
      </c>
      <c r="AG399" s="178" t="str">
        <f t="shared" ref="AG399:AG424" si="344">IF(K399="X","","X")</f>
        <v>X</v>
      </c>
      <c r="AH399" s="176">
        <f t="shared" ref="AH399:AH424" si="345">IF(AG399="X",$D399-H399,0)</f>
        <v>21.92</v>
      </c>
    </row>
    <row r="400" spans="2:34" ht="16.5" outlineLevel="1" x14ac:dyDescent="0.25">
      <c r="B400" s="175" t="s">
        <v>2643</v>
      </c>
      <c r="C400" s="176">
        <v>5.18</v>
      </c>
      <c r="D400" s="176">
        <v>9.99</v>
      </c>
      <c r="E400" s="194">
        <v>3</v>
      </c>
      <c r="F400" s="194">
        <v>2.1</v>
      </c>
      <c r="G400" s="194">
        <f t="shared" ref="G400:G424" si="346">E400-F400</f>
        <v>0.89999999999999991</v>
      </c>
      <c r="H400" s="176"/>
      <c r="I400" s="178" t="str">
        <f t="shared" si="328"/>
        <v>X</v>
      </c>
      <c r="J400" s="176">
        <f t="shared" si="329"/>
        <v>29.97</v>
      </c>
      <c r="K400" s="178" t="str">
        <f t="shared" si="330"/>
        <v>X</v>
      </c>
      <c r="L400" s="176">
        <f t="shared" si="331"/>
        <v>20.979000000000003</v>
      </c>
      <c r="M400" s="178" t="str">
        <f t="shared" si="332"/>
        <v>X</v>
      </c>
      <c r="N400" s="177">
        <f t="shared" si="333"/>
        <v>8.9909999999999961</v>
      </c>
      <c r="O400" s="178" t="str">
        <f t="shared" si="334"/>
        <v>X</v>
      </c>
      <c r="P400" s="176">
        <f t="shared" ref="P400:P413" si="347">IF(L400&gt;0,L400,0)</f>
        <v>20.979000000000003</v>
      </c>
      <c r="Q400" s="178" t="s">
        <v>0</v>
      </c>
      <c r="R400" s="176"/>
      <c r="S400" s="178" t="s">
        <v>2578</v>
      </c>
      <c r="T400" s="178" t="str">
        <f t="shared" si="335"/>
        <v>X</v>
      </c>
      <c r="U400" s="176">
        <f t="shared" ref="U400:U424" si="348">IF(T400="X",$N400,0)</f>
        <v>8.9909999999999961</v>
      </c>
      <c r="V400" s="178" t="str">
        <f t="shared" si="336"/>
        <v xml:space="preserve"> </v>
      </c>
      <c r="W400" s="176">
        <f t="shared" ref="W400:W424" si="349">IF(V400="X",$N400,0)</f>
        <v>0</v>
      </c>
      <c r="X400" s="178" t="str">
        <f t="shared" si="337"/>
        <v xml:space="preserve"> </v>
      </c>
      <c r="Y400" s="176">
        <f t="shared" ref="Y400:Y424" si="350">IF(X400="X",$N400,0)</f>
        <v>0</v>
      </c>
      <c r="Z400" s="178" t="s">
        <v>2581</v>
      </c>
      <c r="AA400" s="178" t="str">
        <f t="shared" si="338"/>
        <v>X</v>
      </c>
      <c r="AB400" s="176">
        <f t="shared" si="339"/>
        <v>5.18</v>
      </c>
      <c r="AC400" s="178" t="str">
        <f t="shared" si="340"/>
        <v xml:space="preserve"> </v>
      </c>
      <c r="AD400" s="176">
        <f t="shared" si="341"/>
        <v>0</v>
      </c>
      <c r="AE400" s="178" t="str">
        <f t="shared" si="342"/>
        <v xml:space="preserve"> </v>
      </c>
      <c r="AF400" s="176">
        <f t="shared" si="343"/>
        <v>0</v>
      </c>
      <c r="AG400" s="178" t="str">
        <f t="shared" si="344"/>
        <v/>
      </c>
      <c r="AH400" s="176">
        <f t="shared" si="345"/>
        <v>0</v>
      </c>
    </row>
    <row r="401" spans="2:34" ht="16.5" outlineLevel="1" x14ac:dyDescent="0.25">
      <c r="B401" s="175" t="s">
        <v>2644</v>
      </c>
      <c r="C401" s="176">
        <v>27.26</v>
      </c>
      <c r="D401" s="176">
        <v>21.74</v>
      </c>
      <c r="E401" s="194">
        <v>3</v>
      </c>
      <c r="F401" s="194">
        <v>0</v>
      </c>
      <c r="G401" s="194">
        <f t="shared" si="346"/>
        <v>3</v>
      </c>
      <c r="H401" s="176"/>
      <c r="I401" s="178" t="str">
        <f t="shared" si="328"/>
        <v>X</v>
      </c>
      <c r="J401" s="176">
        <f t="shared" si="329"/>
        <v>65.22</v>
      </c>
      <c r="K401" s="178" t="str">
        <f t="shared" si="330"/>
        <v xml:space="preserve"> </v>
      </c>
      <c r="L401" s="176">
        <f t="shared" si="331"/>
        <v>0</v>
      </c>
      <c r="M401" s="178" t="str">
        <f t="shared" si="332"/>
        <v>X</v>
      </c>
      <c r="N401" s="177">
        <f t="shared" si="333"/>
        <v>65.22</v>
      </c>
      <c r="O401" s="178" t="str">
        <f t="shared" si="334"/>
        <v xml:space="preserve"> </v>
      </c>
      <c r="P401" s="176">
        <v>1</v>
      </c>
      <c r="Q401" s="178" t="s">
        <v>0</v>
      </c>
      <c r="R401" s="176"/>
      <c r="S401" s="178" t="s">
        <v>2578</v>
      </c>
      <c r="T401" s="178" t="str">
        <f t="shared" si="335"/>
        <v>X</v>
      </c>
      <c r="U401" s="176">
        <f t="shared" si="348"/>
        <v>65.22</v>
      </c>
      <c r="V401" s="178" t="str">
        <f t="shared" si="336"/>
        <v xml:space="preserve"> </v>
      </c>
      <c r="W401" s="176">
        <f t="shared" si="349"/>
        <v>0</v>
      </c>
      <c r="X401" s="178" t="str">
        <f t="shared" si="337"/>
        <v xml:space="preserve"> </v>
      </c>
      <c r="Y401" s="176">
        <f t="shared" si="350"/>
        <v>0</v>
      </c>
      <c r="Z401" s="178" t="s">
        <v>2581</v>
      </c>
      <c r="AA401" s="178" t="str">
        <f t="shared" si="338"/>
        <v>X</v>
      </c>
      <c r="AB401" s="176">
        <f t="shared" si="339"/>
        <v>27.26</v>
      </c>
      <c r="AC401" s="178" t="str">
        <f t="shared" si="340"/>
        <v xml:space="preserve"> </v>
      </c>
      <c r="AD401" s="176">
        <f t="shared" si="341"/>
        <v>0</v>
      </c>
      <c r="AE401" s="178" t="str">
        <f t="shared" si="342"/>
        <v xml:space="preserve"> </v>
      </c>
      <c r="AF401" s="176">
        <f t="shared" si="343"/>
        <v>0</v>
      </c>
      <c r="AG401" s="178" t="str">
        <f t="shared" si="344"/>
        <v>X</v>
      </c>
      <c r="AH401" s="176">
        <f t="shared" si="345"/>
        <v>21.74</v>
      </c>
    </row>
    <row r="402" spans="2:34" ht="16.5" outlineLevel="1" x14ac:dyDescent="0.25">
      <c r="B402" s="175" t="s">
        <v>2645</v>
      </c>
      <c r="C402" s="176">
        <v>5.18</v>
      </c>
      <c r="D402" s="176">
        <v>9.99</v>
      </c>
      <c r="E402" s="194">
        <v>3</v>
      </c>
      <c r="F402" s="194">
        <v>2.1</v>
      </c>
      <c r="G402" s="194">
        <f t="shared" si="346"/>
        <v>0.89999999999999991</v>
      </c>
      <c r="H402" s="176"/>
      <c r="I402" s="178" t="str">
        <f t="shared" si="328"/>
        <v>X</v>
      </c>
      <c r="J402" s="176">
        <f t="shared" si="329"/>
        <v>29.97</v>
      </c>
      <c r="K402" s="178" t="str">
        <f t="shared" si="330"/>
        <v>X</v>
      </c>
      <c r="L402" s="176">
        <f t="shared" si="331"/>
        <v>20.979000000000003</v>
      </c>
      <c r="M402" s="178" t="str">
        <f t="shared" si="332"/>
        <v>X</v>
      </c>
      <c r="N402" s="177">
        <f t="shared" si="333"/>
        <v>8.9909999999999961</v>
      </c>
      <c r="O402" s="178" t="str">
        <f t="shared" si="334"/>
        <v>X</v>
      </c>
      <c r="P402" s="176">
        <f t="shared" si="347"/>
        <v>20.979000000000003</v>
      </c>
      <c r="Q402" s="178" t="s">
        <v>0</v>
      </c>
      <c r="R402" s="176"/>
      <c r="S402" s="178" t="s">
        <v>2578</v>
      </c>
      <c r="T402" s="178" t="str">
        <f t="shared" si="335"/>
        <v>X</v>
      </c>
      <c r="U402" s="176">
        <f t="shared" si="348"/>
        <v>8.9909999999999961</v>
      </c>
      <c r="V402" s="178" t="str">
        <f t="shared" si="336"/>
        <v xml:space="preserve"> </v>
      </c>
      <c r="W402" s="176">
        <f t="shared" si="349"/>
        <v>0</v>
      </c>
      <c r="X402" s="178" t="str">
        <f t="shared" si="337"/>
        <v xml:space="preserve"> </v>
      </c>
      <c r="Y402" s="176">
        <f t="shared" si="350"/>
        <v>0</v>
      </c>
      <c r="Z402" s="178" t="s">
        <v>2581</v>
      </c>
      <c r="AA402" s="178" t="str">
        <f t="shared" si="338"/>
        <v>X</v>
      </c>
      <c r="AB402" s="176">
        <f t="shared" si="339"/>
        <v>5.18</v>
      </c>
      <c r="AC402" s="178" t="str">
        <f t="shared" si="340"/>
        <v xml:space="preserve"> </v>
      </c>
      <c r="AD402" s="176">
        <f t="shared" si="341"/>
        <v>0</v>
      </c>
      <c r="AE402" s="178" t="str">
        <f t="shared" si="342"/>
        <v xml:space="preserve"> </v>
      </c>
      <c r="AF402" s="176">
        <f t="shared" si="343"/>
        <v>0</v>
      </c>
      <c r="AG402" s="178" t="str">
        <f t="shared" si="344"/>
        <v/>
      </c>
      <c r="AH402" s="176">
        <f t="shared" si="345"/>
        <v>0</v>
      </c>
    </row>
    <row r="403" spans="2:34" ht="16.5" outlineLevel="1" x14ac:dyDescent="0.25">
      <c r="B403" s="175" t="s">
        <v>2646</v>
      </c>
      <c r="C403" s="176">
        <v>27.26</v>
      </c>
      <c r="D403" s="176">
        <v>21.74</v>
      </c>
      <c r="E403" s="194">
        <v>3</v>
      </c>
      <c r="F403" s="194">
        <v>0</v>
      </c>
      <c r="G403" s="194">
        <f t="shared" si="346"/>
        <v>3</v>
      </c>
      <c r="H403" s="176"/>
      <c r="I403" s="178" t="str">
        <f t="shared" si="328"/>
        <v>X</v>
      </c>
      <c r="J403" s="176">
        <f t="shared" si="329"/>
        <v>65.22</v>
      </c>
      <c r="K403" s="178" t="str">
        <f t="shared" si="330"/>
        <v xml:space="preserve"> </v>
      </c>
      <c r="L403" s="176">
        <f t="shared" si="331"/>
        <v>0</v>
      </c>
      <c r="M403" s="178" t="str">
        <f t="shared" si="332"/>
        <v>X</v>
      </c>
      <c r="N403" s="177">
        <f t="shared" si="333"/>
        <v>65.22</v>
      </c>
      <c r="O403" s="178" t="str">
        <f t="shared" si="334"/>
        <v xml:space="preserve"> </v>
      </c>
      <c r="P403" s="176">
        <v>1</v>
      </c>
      <c r="Q403" s="178" t="s">
        <v>0</v>
      </c>
      <c r="R403" s="176"/>
      <c r="S403" s="178" t="s">
        <v>2578</v>
      </c>
      <c r="T403" s="178" t="str">
        <f t="shared" si="335"/>
        <v>X</v>
      </c>
      <c r="U403" s="176">
        <f t="shared" si="348"/>
        <v>65.22</v>
      </c>
      <c r="V403" s="178" t="str">
        <f t="shared" si="336"/>
        <v xml:space="preserve"> </v>
      </c>
      <c r="W403" s="176">
        <f t="shared" si="349"/>
        <v>0</v>
      </c>
      <c r="X403" s="178" t="str">
        <f t="shared" si="337"/>
        <v xml:space="preserve"> </v>
      </c>
      <c r="Y403" s="176">
        <f t="shared" si="350"/>
        <v>0</v>
      </c>
      <c r="Z403" s="178" t="s">
        <v>2581</v>
      </c>
      <c r="AA403" s="178" t="str">
        <f t="shared" si="338"/>
        <v>X</v>
      </c>
      <c r="AB403" s="176">
        <f t="shared" si="339"/>
        <v>27.26</v>
      </c>
      <c r="AC403" s="178" t="str">
        <f t="shared" si="340"/>
        <v xml:space="preserve"> </v>
      </c>
      <c r="AD403" s="176">
        <f t="shared" si="341"/>
        <v>0</v>
      </c>
      <c r="AE403" s="178" t="str">
        <f t="shared" si="342"/>
        <v xml:space="preserve"> </v>
      </c>
      <c r="AF403" s="176">
        <f t="shared" si="343"/>
        <v>0</v>
      </c>
      <c r="AG403" s="178" t="str">
        <f t="shared" si="344"/>
        <v>X</v>
      </c>
      <c r="AH403" s="176">
        <f t="shared" si="345"/>
        <v>21.74</v>
      </c>
    </row>
    <row r="404" spans="2:34" ht="16.5" outlineLevel="1" x14ac:dyDescent="0.25">
      <c r="B404" s="175" t="s">
        <v>2647</v>
      </c>
      <c r="C404" s="176">
        <v>5.18</v>
      </c>
      <c r="D404" s="176">
        <v>9.99</v>
      </c>
      <c r="E404" s="194">
        <v>3</v>
      </c>
      <c r="F404" s="194">
        <v>2.1</v>
      </c>
      <c r="G404" s="194">
        <f t="shared" si="346"/>
        <v>0.89999999999999991</v>
      </c>
      <c r="H404" s="176"/>
      <c r="I404" s="178" t="str">
        <f t="shared" si="328"/>
        <v>X</v>
      </c>
      <c r="J404" s="176">
        <f t="shared" si="329"/>
        <v>29.97</v>
      </c>
      <c r="K404" s="178" t="str">
        <f t="shared" si="330"/>
        <v>X</v>
      </c>
      <c r="L404" s="176">
        <f t="shared" si="331"/>
        <v>20.979000000000003</v>
      </c>
      <c r="M404" s="178" t="str">
        <f t="shared" si="332"/>
        <v>X</v>
      </c>
      <c r="N404" s="177">
        <f t="shared" si="333"/>
        <v>8.9909999999999961</v>
      </c>
      <c r="O404" s="178" t="str">
        <f t="shared" si="334"/>
        <v>X</v>
      </c>
      <c r="P404" s="176">
        <f t="shared" si="347"/>
        <v>20.979000000000003</v>
      </c>
      <c r="Q404" s="178" t="s">
        <v>0</v>
      </c>
      <c r="R404" s="176"/>
      <c r="S404" s="178" t="s">
        <v>2578</v>
      </c>
      <c r="T404" s="178" t="str">
        <f t="shared" si="335"/>
        <v>X</v>
      </c>
      <c r="U404" s="176">
        <f t="shared" si="348"/>
        <v>8.9909999999999961</v>
      </c>
      <c r="V404" s="178" t="str">
        <f t="shared" si="336"/>
        <v xml:space="preserve"> </v>
      </c>
      <c r="W404" s="176">
        <f t="shared" si="349"/>
        <v>0</v>
      </c>
      <c r="X404" s="178" t="str">
        <f t="shared" si="337"/>
        <v xml:space="preserve"> </v>
      </c>
      <c r="Y404" s="176">
        <f t="shared" si="350"/>
        <v>0</v>
      </c>
      <c r="Z404" s="178" t="s">
        <v>2581</v>
      </c>
      <c r="AA404" s="178" t="str">
        <f t="shared" si="338"/>
        <v>X</v>
      </c>
      <c r="AB404" s="176">
        <f t="shared" si="339"/>
        <v>5.18</v>
      </c>
      <c r="AC404" s="178" t="str">
        <f t="shared" si="340"/>
        <v xml:space="preserve"> </v>
      </c>
      <c r="AD404" s="176">
        <f t="shared" si="341"/>
        <v>0</v>
      </c>
      <c r="AE404" s="178" t="str">
        <f t="shared" si="342"/>
        <v xml:space="preserve"> </v>
      </c>
      <c r="AF404" s="176">
        <f t="shared" si="343"/>
        <v>0</v>
      </c>
      <c r="AG404" s="178" t="str">
        <f t="shared" si="344"/>
        <v/>
      </c>
      <c r="AH404" s="176">
        <f t="shared" si="345"/>
        <v>0</v>
      </c>
    </row>
    <row r="405" spans="2:34" ht="16.5" outlineLevel="1" x14ac:dyDescent="0.25">
      <c r="B405" s="175" t="s">
        <v>2648</v>
      </c>
      <c r="C405" s="176">
        <v>27.12</v>
      </c>
      <c r="D405" s="176">
        <v>21.68</v>
      </c>
      <c r="E405" s="194">
        <v>3</v>
      </c>
      <c r="F405" s="194">
        <v>0</v>
      </c>
      <c r="G405" s="194">
        <f t="shared" si="346"/>
        <v>3</v>
      </c>
      <c r="H405" s="176"/>
      <c r="I405" s="178" t="str">
        <f t="shared" si="328"/>
        <v>X</v>
      </c>
      <c r="J405" s="176">
        <f t="shared" si="329"/>
        <v>65.039999999999992</v>
      </c>
      <c r="K405" s="178" t="str">
        <f t="shared" si="330"/>
        <v xml:space="preserve"> </v>
      </c>
      <c r="L405" s="176">
        <f t="shared" si="331"/>
        <v>0</v>
      </c>
      <c r="M405" s="178" t="str">
        <f t="shared" si="332"/>
        <v>X</v>
      </c>
      <c r="N405" s="177">
        <f t="shared" si="333"/>
        <v>65.039999999999992</v>
      </c>
      <c r="O405" s="178" t="str">
        <f t="shared" si="334"/>
        <v xml:space="preserve"> </v>
      </c>
      <c r="P405" s="176">
        <v>1</v>
      </c>
      <c r="Q405" s="178" t="s">
        <v>0</v>
      </c>
      <c r="R405" s="176"/>
      <c r="S405" s="178" t="s">
        <v>2578</v>
      </c>
      <c r="T405" s="178" t="str">
        <f t="shared" si="335"/>
        <v>X</v>
      </c>
      <c r="U405" s="176">
        <f t="shared" si="348"/>
        <v>65.039999999999992</v>
      </c>
      <c r="V405" s="178" t="str">
        <f t="shared" si="336"/>
        <v xml:space="preserve"> </v>
      </c>
      <c r="W405" s="176">
        <f t="shared" si="349"/>
        <v>0</v>
      </c>
      <c r="X405" s="178" t="str">
        <f t="shared" si="337"/>
        <v xml:space="preserve"> </v>
      </c>
      <c r="Y405" s="176">
        <f t="shared" si="350"/>
        <v>0</v>
      </c>
      <c r="Z405" s="178" t="s">
        <v>2581</v>
      </c>
      <c r="AA405" s="178" t="str">
        <f t="shared" si="338"/>
        <v>X</v>
      </c>
      <c r="AB405" s="176">
        <f t="shared" si="339"/>
        <v>27.12</v>
      </c>
      <c r="AC405" s="178" t="str">
        <f t="shared" si="340"/>
        <v xml:space="preserve"> </v>
      </c>
      <c r="AD405" s="176">
        <f t="shared" si="341"/>
        <v>0</v>
      </c>
      <c r="AE405" s="178" t="str">
        <f t="shared" si="342"/>
        <v xml:space="preserve"> </v>
      </c>
      <c r="AF405" s="176">
        <f t="shared" si="343"/>
        <v>0</v>
      </c>
      <c r="AG405" s="178" t="str">
        <f t="shared" si="344"/>
        <v>X</v>
      </c>
      <c r="AH405" s="176">
        <f t="shared" si="345"/>
        <v>21.68</v>
      </c>
    </row>
    <row r="406" spans="2:34" ht="16.5" outlineLevel="1" x14ac:dyDescent="0.25">
      <c r="B406" s="175" t="s">
        <v>2649</v>
      </c>
      <c r="C406" s="176">
        <v>5.18</v>
      </c>
      <c r="D406" s="176">
        <v>9.99</v>
      </c>
      <c r="E406" s="194">
        <v>3</v>
      </c>
      <c r="F406" s="194">
        <v>2.1</v>
      </c>
      <c r="G406" s="194">
        <f t="shared" si="346"/>
        <v>0.89999999999999991</v>
      </c>
      <c r="H406" s="176"/>
      <c r="I406" s="178" t="str">
        <f t="shared" si="328"/>
        <v>X</v>
      </c>
      <c r="J406" s="176">
        <f t="shared" si="329"/>
        <v>29.97</v>
      </c>
      <c r="K406" s="178" t="str">
        <f t="shared" si="330"/>
        <v>X</v>
      </c>
      <c r="L406" s="176">
        <f t="shared" si="331"/>
        <v>20.979000000000003</v>
      </c>
      <c r="M406" s="178" t="str">
        <f t="shared" si="332"/>
        <v>X</v>
      </c>
      <c r="N406" s="177">
        <f t="shared" si="333"/>
        <v>8.9909999999999961</v>
      </c>
      <c r="O406" s="178" t="str">
        <f t="shared" si="334"/>
        <v>X</v>
      </c>
      <c r="P406" s="176">
        <f t="shared" si="347"/>
        <v>20.979000000000003</v>
      </c>
      <c r="Q406" s="178" t="s">
        <v>0</v>
      </c>
      <c r="R406" s="176"/>
      <c r="S406" s="178" t="s">
        <v>2578</v>
      </c>
      <c r="T406" s="178" t="str">
        <f t="shared" si="335"/>
        <v>X</v>
      </c>
      <c r="U406" s="176">
        <f t="shared" si="348"/>
        <v>8.9909999999999961</v>
      </c>
      <c r="V406" s="178" t="str">
        <f t="shared" si="336"/>
        <v xml:space="preserve"> </v>
      </c>
      <c r="W406" s="176">
        <f t="shared" si="349"/>
        <v>0</v>
      </c>
      <c r="X406" s="178" t="str">
        <f t="shared" si="337"/>
        <v xml:space="preserve"> </v>
      </c>
      <c r="Y406" s="176">
        <f t="shared" si="350"/>
        <v>0</v>
      </c>
      <c r="Z406" s="178" t="s">
        <v>2581</v>
      </c>
      <c r="AA406" s="178" t="str">
        <f t="shared" si="338"/>
        <v>X</v>
      </c>
      <c r="AB406" s="176">
        <f t="shared" si="339"/>
        <v>5.18</v>
      </c>
      <c r="AC406" s="178" t="str">
        <f t="shared" si="340"/>
        <v xml:space="preserve"> </v>
      </c>
      <c r="AD406" s="176">
        <f t="shared" si="341"/>
        <v>0</v>
      </c>
      <c r="AE406" s="178" t="str">
        <f t="shared" si="342"/>
        <v xml:space="preserve"> </v>
      </c>
      <c r="AF406" s="176">
        <f t="shared" si="343"/>
        <v>0</v>
      </c>
      <c r="AG406" s="178" t="str">
        <f t="shared" si="344"/>
        <v/>
      </c>
      <c r="AH406" s="176">
        <f t="shared" si="345"/>
        <v>0</v>
      </c>
    </row>
    <row r="407" spans="2:34" ht="16.5" outlineLevel="1" x14ac:dyDescent="0.25">
      <c r="B407" s="175" t="s">
        <v>2651</v>
      </c>
      <c r="C407" s="176">
        <v>27.17</v>
      </c>
      <c r="D407" s="176">
        <v>21.67</v>
      </c>
      <c r="E407" s="194">
        <v>3</v>
      </c>
      <c r="F407" s="194">
        <v>0</v>
      </c>
      <c r="G407" s="194">
        <f t="shared" si="346"/>
        <v>3</v>
      </c>
      <c r="H407" s="176"/>
      <c r="I407" s="178" t="str">
        <f t="shared" si="328"/>
        <v>X</v>
      </c>
      <c r="J407" s="176">
        <f t="shared" si="329"/>
        <v>65.010000000000005</v>
      </c>
      <c r="K407" s="178" t="str">
        <f t="shared" si="330"/>
        <v xml:space="preserve"> </v>
      </c>
      <c r="L407" s="176">
        <f t="shared" si="331"/>
        <v>0</v>
      </c>
      <c r="M407" s="178" t="str">
        <f t="shared" si="332"/>
        <v>X</v>
      </c>
      <c r="N407" s="177">
        <f t="shared" si="333"/>
        <v>65.010000000000005</v>
      </c>
      <c r="O407" s="178" t="str">
        <f t="shared" si="334"/>
        <v xml:space="preserve"> </v>
      </c>
      <c r="P407" s="176">
        <v>1</v>
      </c>
      <c r="Q407" s="178" t="s">
        <v>0</v>
      </c>
      <c r="R407" s="176"/>
      <c r="S407" s="178" t="s">
        <v>2578</v>
      </c>
      <c r="T407" s="178" t="str">
        <f t="shared" si="335"/>
        <v>X</v>
      </c>
      <c r="U407" s="176">
        <f t="shared" si="348"/>
        <v>65.010000000000005</v>
      </c>
      <c r="V407" s="178" t="str">
        <f t="shared" si="336"/>
        <v xml:space="preserve"> </v>
      </c>
      <c r="W407" s="176">
        <f t="shared" si="349"/>
        <v>0</v>
      </c>
      <c r="X407" s="178" t="str">
        <f t="shared" si="337"/>
        <v xml:space="preserve"> </v>
      </c>
      <c r="Y407" s="176">
        <f t="shared" si="350"/>
        <v>0</v>
      </c>
      <c r="Z407" s="178" t="s">
        <v>2581</v>
      </c>
      <c r="AA407" s="178" t="str">
        <f t="shared" si="338"/>
        <v>X</v>
      </c>
      <c r="AB407" s="176">
        <f t="shared" si="339"/>
        <v>27.17</v>
      </c>
      <c r="AC407" s="178" t="str">
        <f t="shared" si="340"/>
        <v xml:space="preserve"> </v>
      </c>
      <c r="AD407" s="176">
        <f t="shared" si="341"/>
        <v>0</v>
      </c>
      <c r="AE407" s="178" t="str">
        <f t="shared" si="342"/>
        <v xml:space="preserve"> </v>
      </c>
      <c r="AF407" s="176">
        <f t="shared" si="343"/>
        <v>0</v>
      </c>
      <c r="AG407" s="178" t="str">
        <f t="shared" si="344"/>
        <v>X</v>
      </c>
      <c r="AH407" s="176">
        <f t="shared" si="345"/>
        <v>21.67</v>
      </c>
    </row>
    <row r="408" spans="2:34" ht="16.5" outlineLevel="1" x14ac:dyDescent="0.25">
      <c r="B408" s="175" t="s">
        <v>2652</v>
      </c>
      <c r="C408" s="176">
        <v>5.18</v>
      </c>
      <c r="D408" s="176">
        <v>9.99</v>
      </c>
      <c r="E408" s="194">
        <v>3</v>
      </c>
      <c r="F408" s="194">
        <v>2.1</v>
      </c>
      <c r="G408" s="194">
        <f t="shared" si="346"/>
        <v>0.89999999999999991</v>
      </c>
      <c r="H408" s="176"/>
      <c r="I408" s="178" t="str">
        <f t="shared" si="328"/>
        <v>X</v>
      </c>
      <c r="J408" s="176">
        <f t="shared" si="329"/>
        <v>29.97</v>
      </c>
      <c r="K408" s="178" t="str">
        <f t="shared" si="330"/>
        <v>X</v>
      </c>
      <c r="L408" s="176">
        <f t="shared" si="331"/>
        <v>20.979000000000003</v>
      </c>
      <c r="M408" s="178" t="str">
        <f t="shared" si="332"/>
        <v>X</v>
      </c>
      <c r="N408" s="177">
        <f t="shared" si="333"/>
        <v>8.9909999999999961</v>
      </c>
      <c r="O408" s="178" t="str">
        <f t="shared" si="334"/>
        <v>X</v>
      </c>
      <c r="P408" s="176">
        <f t="shared" si="347"/>
        <v>20.979000000000003</v>
      </c>
      <c r="Q408" s="178" t="s">
        <v>0</v>
      </c>
      <c r="R408" s="176"/>
      <c r="S408" s="178" t="s">
        <v>2578</v>
      </c>
      <c r="T408" s="178" t="str">
        <f t="shared" si="335"/>
        <v>X</v>
      </c>
      <c r="U408" s="176">
        <f t="shared" si="348"/>
        <v>8.9909999999999961</v>
      </c>
      <c r="V408" s="178" t="str">
        <f t="shared" si="336"/>
        <v xml:space="preserve"> </v>
      </c>
      <c r="W408" s="176">
        <f t="shared" si="349"/>
        <v>0</v>
      </c>
      <c r="X408" s="178" t="str">
        <f t="shared" si="337"/>
        <v xml:space="preserve"> </v>
      </c>
      <c r="Y408" s="176">
        <f t="shared" si="350"/>
        <v>0</v>
      </c>
      <c r="Z408" s="178" t="s">
        <v>2581</v>
      </c>
      <c r="AA408" s="178" t="str">
        <f t="shared" si="338"/>
        <v>X</v>
      </c>
      <c r="AB408" s="176">
        <f t="shared" si="339"/>
        <v>5.18</v>
      </c>
      <c r="AC408" s="178" t="str">
        <f t="shared" si="340"/>
        <v xml:space="preserve"> </v>
      </c>
      <c r="AD408" s="176">
        <f t="shared" si="341"/>
        <v>0</v>
      </c>
      <c r="AE408" s="178" t="str">
        <f t="shared" si="342"/>
        <v xml:space="preserve"> </v>
      </c>
      <c r="AF408" s="176">
        <f t="shared" si="343"/>
        <v>0</v>
      </c>
      <c r="AG408" s="178" t="str">
        <f t="shared" si="344"/>
        <v/>
      </c>
      <c r="AH408" s="176">
        <f t="shared" si="345"/>
        <v>0</v>
      </c>
    </row>
    <row r="409" spans="2:34" ht="16.5" outlineLevel="1" x14ac:dyDescent="0.25">
      <c r="B409" s="175" t="s">
        <v>2594</v>
      </c>
      <c r="C409" s="176">
        <v>78.13</v>
      </c>
      <c r="D409" s="176">
        <v>76.77</v>
      </c>
      <c r="E409" s="194">
        <v>3</v>
      </c>
      <c r="F409" s="194">
        <v>0</v>
      </c>
      <c r="G409" s="194">
        <f t="shared" si="346"/>
        <v>3</v>
      </c>
      <c r="H409" s="176"/>
      <c r="I409" s="178" t="str">
        <f t="shared" si="328"/>
        <v>X</v>
      </c>
      <c r="J409" s="176">
        <f t="shared" si="329"/>
        <v>230.31</v>
      </c>
      <c r="K409" s="178" t="str">
        <f t="shared" si="330"/>
        <v xml:space="preserve"> </v>
      </c>
      <c r="L409" s="176">
        <f t="shared" si="331"/>
        <v>0</v>
      </c>
      <c r="M409" s="178" t="str">
        <f t="shared" si="332"/>
        <v>X</v>
      </c>
      <c r="N409" s="177">
        <f t="shared" si="333"/>
        <v>230.31</v>
      </c>
      <c r="O409" s="178" t="str">
        <f t="shared" si="334"/>
        <v xml:space="preserve"> </v>
      </c>
      <c r="P409" s="176">
        <f t="shared" si="347"/>
        <v>0</v>
      </c>
      <c r="Q409" s="178" t="s">
        <v>0</v>
      </c>
      <c r="R409" s="176"/>
      <c r="S409" s="178" t="s">
        <v>2578</v>
      </c>
      <c r="T409" s="178" t="str">
        <f t="shared" si="335"/>
        <v>X</v>
      </c>
      <c r="U409" s="176">
        <f t="shared" si="348"/>
        <v>230.31</v>
      </c>
      <c r="V409" s="178" t="str">
        <f t="shared" si="336"/>
        <v xml:space="preserve"> </v>
      </c>
      <c r="W409" s="176">
        <f t="shared" si="349"/>
        <v>0</v>
      </c>
      <c r="X409" s="178" t="str">
        <f t="shared" si="337"/>
        <v xml:space="preserve"> </v>
      </c>
      <c r="Y409" s="176">
        <f t="shared" si="350"/>
        <v>0</v>
      </c>
      <c r="Z409" s="178" t="s">
        <v>2582</v>
      </c>
      <c r="AA409" s="178" t="str">
        <f t="shared" si="338"/>
        <v xml:space="preserve"> </v>
      </c>
      <c r="AB409" s="176">
        <f t="shared" si="339"/>
        <v>0</v>
      </c>
      <c r="AC409" s="178" t="str">
        <f t="shared" si="340"/>
        <v>X</v>
      </c>
      <c r="AD409" s="176">
        <f t="shared" si="341"/>
        <v>78.13</v>
      </c>
      <c r="AE409" s="178" t="str">
        <f t="shared" si="342"/>
        <v xml:space="preserve"> </v>
      </c>
      <c r="AF409" s="176">
        <f t="shared" si="343"/>
        <v>0</v>
      </c>
      <c r="AG409" s="178" t="str">
        <f t="shared" si="344"/>
        <v>X</v>
      </c>
      <c r="AH409" s="176">
        <f t="shared" si="345"/>
        <v>76.77</v>
      </c>
    </row>
    <row r="410" spans="2:34" ht="16.5" outlineLevel="1" x14ac:dyDescent="0.25">
      <c r="B410" s="175" t="s">
        <v>2657</v>
      </c>
      <c r="C410" s="176">
        <v>25.85</v>
      </c>
      <c r="D410" s="176">
        <v>21.31</v>
      </c>
      <c r="E410" s="194">
        <v>3</v>
      </c>
      <c r="F410" s="194">
        <v>0</v>
      </c>
      <c r="G410" s="194">
        <f t="shared" si="346"/>
        <v>3</v>
      </c>
      <c r="H410" s="176"/>
      <c r="I410" s="178" t="str">
        <f t="shared" si="328"/>
        <v>X</v>
      </c>
      <c r="J410" s="176">
        <f t="shared" si="329"/>
        <v>63.929999999999993</v>
      </c>
      <c r="K410" s="178" t="str">
        <f t="shared" si="330"/>
        <v xml:space="preserve"> </v>
      </c>
      <c r="L410" s="176">
        <f t="shared" si="331"/>
        <v>0</v>
      </c>
      <c r="M410" s="178" t="str">
        <f t="shared" si="332"/>
        <v>X</v>
      </c>
      <c r="N410" s="177">
        <f t="shared" si="333"/>
        <v>63.929999999999993</v>
      </c>
      <c r="O410" s="178" t="str">
        <f t="shared" si="334"/>
        <v xml:space="preserve"> </v>
      </c>
      <c r="P410" s="176">
        <v>1</v>
      </c>
      <c r="Q410" s="178" t="s">
        <v>0</v>
      </c>
      <c r="R410" s="176"/>
      <c r="S410" s="178" t="s">
        <v>2578</v>
      </c>
      <c r="T410" s="178" t="str">
        <f t="shared" si="335"/>
        <v>X</v>
      </c>
      <c r="U410" s="176">
        <f t="shared" si="348"/>
        <v>63.929999999999993</v>
      </c>
      <c r="V410" s="178" t="str">
        <f t="shared" si="336"/>
        <v xml:space="preserve"> </v>
      </c>
      <c r="W410" s="176">
        <f t="shared" si="349"/>
        <v>0</v>
      </c>
      <c r="X410" s="178" t="str">
        <f t="shared" si="337"/>
        <v xml:space="preserve"> </v>
      </c>
      <c r="Y410" s="176">
        <f t="shared" si="350"/>
        <v>0</v>
      </c>
      <c r="Z410" s="178" t="s">
        <v>2581</v>
      </c>
      <c r="AA410" s="178" t="str">
        <f t="shared" si="338"/>
        <v>X</v>
      </c>
      <c r="AB410" s="176">
        <f t="shared" si="339"/>
        <v>25.85</v>
      </c>
      <c r="AC410" s="178" t="str">
        <f t="shared" si="340"/>
        <v xml:space="preserve"> </v>
      </c>
      <c r="AD410" s="176">
        <f t="shared" si="341"/>
        <v>0</v>
      </c>
      <c r="AE410" s="178" t="str">
        <f t="shared" si="342"/>
        <v xml:space="preserve"> </v>
      </c>
      <c r="AF410" s="176">
        <f t="shared" si="343"/>
        <v>0</v>
      </c>
      <c r="AG410" s="178" t="str">
        <f t="shared" si="344"/>
        <v>X</v>
      </c>
      <c r="AH410" s="176">
        <f t="shared" si="345"/>
        <v>21.31</v>
      </c>
    </row>
    <row r="411" spans="2:34" ht="16.5" outlineLevel="1" x14ac:dyDescent="0.25">
      <c r="B411" s="175" t="s">
        <v>2658</v>
      </c>
      <c r="C411" s="176">
        <v>5.18</v>
      </c>
      <c r="D411" s="176">
        <v>9.99</v>
      </c>
      <c r="E411" s="194">
        <v>3</v>
      </c>
      <c r="F411" s="194">
        <v>2.1</v>
      </c>
      <c r="G411" s="194">
        <f t="shared" si="346"/>
        <v>0.89999999999999991</v>
      </c>
      <c r="H411" s="176"/>
      <c r="I411" s="178" t="str">
        <f t="shared" si="328"/>
        <v>X</v>
      </c>
      <c r="J411" s="176">
        <f t="shared" si="329"/>
        <v>29.97</v>
      </c>
      <c r="K411" s="178" t="str">
        <f t="shared" si="330"/>
        <v>X</v>
      </c>
      <c r="L411" s="176">
        <f t="shared" si="331"/>
        <v>20.979000000000003</v>
      </c>
      <c r="M411" s="178" t="str">
        <f t="shared" si="332"/>
        <v>X</v>
      </c>
      <c r="N411" s="177">
        <f t="shared" si="333"/>
        <v>8.9909999999999961</v>
      </c>
      <c r="O411" s="178" t="str">
        <f t="shared" si="334"/>
        <v>X</v>
      </c>
      <c r="P411" s="176">
        <f t="shared" si="347"/>
        <v>20.979000000000003</v>
      </c>
      <c r="Q411" s="178" t="s">
        <v>0</v>
      </c>
      <c r="R411" s="176"/>
      <c r="S411" s="178" t="s">
        <v>2578</v>
      </c>
      <c r="T411" s="178" t="str">
        <f t="shared" si="335"/>
        <v>X</v>
      </c>
      <c r="U411" s="176">
        <f t="shared" si="348"/>
        <v>8.9909999999999961</v>
      </c>
      <c r="V411" s="178" t="str">
        <f t="shared" si="336"/>
        <v xml:space="preserve"> </v>
      </c>
      <c r="W411" s="176">
        <f t="shared" si="349"/>
        <v>0</v>
      </c>
      <c r="X411" s="178" t="str">
        <f t="shared" si="337"/>
        <v xml:space="preserve"> </v>
      </c>
      <c r="Y411" s="176">
        <f t="shared" si="350"/>
        <v>0</v>
      </c>
      <c r="Z411" s="178" t="s">
        <v>2581</v>
      </c>
      <c r="AA411" s="178" t="str">
        <f t="shared" si="338"/>
        <v>X</v>
      </c>
      <c r="AB411" s="176">
        <f t="shared" si="339"/>
        <v>5.18</v>
      </c>
      <c r="AC411" s="178" t="str">
        <f t="shared" si="340"/>
        <v xml:space="preserve"> </v>
      </c>
      <c r="AD411" s="176">
        <f t="shared" si="341"/>
        <v>0</v>
      </c>
      <c r="AE411" s="178" t="str">
        <f t="shared" si="342"/>
        <v xml:space="preserve"> </v>
      </c>
      <c r="AF411" s="176">
        <f t="shared" si="343"/>
        <v>0</v>
      </c>
      <c r="AG411" s="178" t="str">
        <f t="shared" si="344"/>
        <v/>
      </c>
      <c r="AH411" s="176">
        <f t="shared" si="345"/>
        <v>0</v>
      </c>
    </row>
    <row r="412" spans="2:34" ht="16.5" outlineLevel="1" x14ac:dyDescent="0.25">
      <c r="B412" s="175" t="s">
        <v>2730</v>
      </c>
      <c r="C412" s="176">
        <v>12.78</v>
      </c>
      <c r="D412" s="176">
        <v>14.76</v>
      </c>
      <c r="E412" s="194">
        <v>3</v>
      </c>
      <c r="F412" s="194">
        <v>0</v>
      </c>
      <c r="G412" s="194">
        <f t="shared" si="346"/>
        <v>3</v>
      </c>
      <c r="H412" s="176"/>
      <c r="I412" s="178" t="str">
        <f t="shared" si="328"/>
        <v>X</v>
      </c>
      <c r="J412" s="176">
        <f t="shared" si="329"/>
        <v>44.28</v>
      </c>
      <c r="K412" s="178" t="str">
        <f t="shared" si="330"/>
        <v xml:space="preserve"> </v>
      </c>
      <c r="L412" s="176">
        <f t="shared" si="331"/>
        <v>0</v>
      </c>
      <c r="M412" s="178" t="str">
        <f t="shared" si="332"/>
        <v>X</v>
      </c>
      <c r="N412" s="177">
        <f t="shared" si="333"/>
        <v>44.28</v>
      </c>
      <c r="O412" s="178" t="str">
        <f t="shared" si="334"/>
        <v xml:space="preserve"> </v>
      </c>
      <c r="P412" s="176">
        <v>1</v>
      </c>
      <c r="Q412" s="178" t="s">
        <v>0</v>
      </c>
      <c r="R412" s="176"/>
      <c r="S412" s="178" t="s">
        <v>2578</v>
      </c>
      <c r="T412" s="178" t="str">
        <f t="shared" si="335"/>
        <v>X</v>
      </c>
      <c r="U412" s="176">
        <f t="shared" si="348"/>
        <v>44.28</v>
      </c>
      <c r="V412" s="178" t="str">
        <f t="shared" si="336"/>
        <v xml:space="preserve"> </v>
      </c>
      <c r="W412" s="176">
        <f t="shared" si="349"/>
        <v>0</v>
      </c>
      <c r="X412" s="178" t="str">
        <f t="shared" si="337"/>
        <v xml:space="preserve"> </v>
      </c>
      <c r="Y412" s="176">
        <f t="shared" si="350"/>
        <v>0</v>
      </c>
      <c r="Z412" s="178" t="s">
        <v>2582</v>
      </c>
      <c r="AA412" s="178" t="str">
        <f t="shared" si="338"/>
        <v xml:space="preserve"> </v>
      </c>
      <c r="AB412" s="176">
        <f t="shared" si="339"/>
        <v>0</v>
      </c>
      <c r="AC412" s="178" t="str">
        <f t="shared" si="340"/>
        <v>X</v>
      </c>
      <c r="AD412" s="176">
        <f t="shared" si="341"/>
        <v>12.78</v>
      </c>
      <c r="AE412" s="178" t="str">
        <f t="shared" si="342"/>
        <v xml:space="preserve"> </v>
      </c>
      <c r="AF412" s="176">
        <f t="shared" si="343"/>
        <v>0</v>
      </c>
      <c r="AG412" s="178" t="str">
        <f t="shared" si="344"/>
        <v>X</v>
      </c>
      <c r="AH412" s="176">
        <f t="shared" si="345"/>
        <v>14.76</v>
      </c>
    </row>
    <row r="413" spans="2:34" ht="16.5" outlineLevel="1" x14ac:dyDescent="0.25">
      <c r="B413" s="175" t="s">
        <v>2666</v>
      </c>
      <c r="C413" s="176">
        <v>4.0999999999999996</v>
      </c>
      <c r="D413" s="176">
        <v>8.6999999999999993</v>
      </c>
      <c r="E413" s="194">
        <v>3</v>
      </c>
      <c r="F413" s="194">
        <v>2.1</v>
      </c>
      <c r="G413" s="194">
        <f t="shared" si="346"/>
        <v>0.89999999999999991</v>
      </c>
      <c r="H413" s="176"/>
      <c r="I413" s="178" t="str">
        <f t="shared" si="328"/>
        <v>X</v>
      </c>
      <c r="J413" s="176">
        <f t="shared" si="329"/>
        <v>26.099999999999998</v>
      </c>
      <c r="K413" s="178" t="str">
        <f t="shared" si="330"/>
        <v>X</v>
      </c>
      <c r="L413" s="176">
        <f t="shared" si="331"/>
        <v>18.27</v>
      </c>
      <c r="M413" s="178" t="str">
        <f t="shared" si="332"/>
        <v>X</v>
      </c>
      <c r="N413" s="177">
        <f t="shared" si="333"/>
        <v>7.8299999999999983</v>
      </c>
      <c r="O413" s="178" t="str">
        <f t="shared" si="334"/>
        <v>X</v>
      </c>
      <c r="P413" s="176">
        <f t="shared" si="347"/>
        <v>18.27</v>
      </c>
      <c r="Q413" s="178" t="s">
        <v>0</v>
      </c>
      <c r="R413" s="176"/>
      <c r="S413" s="178" t="s">
        <v>2578</v>
      </c>
      <c r="T413" s="178" t="str">
        <f t="shared" si="335"/>
        <v>X</v>
      </c>
      <c r="U413" s="176">
        <f t="shared" si="348"/>
        <v>7.8299999999999983</v>
      </c>
      <c r="V413" s="178" t="str">
        <f t="shared" si="336"/>
        <v xml:space="preserve"> </v>
      </c>
      <c r="W413" s="176">
        <f t="shared" si="349"/>
        <v>0</v>
      </c>
      <c r="X413" s="178" t="str">
        <f t="shared" si="337"/>
        <v xml:space="preserve"> </v>
      </c>
      <c r="Y413" s="176">
        <f t="shared" si="350"/>
        <v>0</v>
      </c>
      <c r="Z413" s="178" t="s">
        <v>2581</v>
      </c>
      <c r="AA413" s="178" t="str">
        <f t="shared" si="338"/>
        <v>X</v>
      </c>
      <c r="AB413" s="176">
        <f t="shared" si="339"/>
        <v>4.0999999999999996</v>
      </c>
      <c r="AC413" s="178" t="str">
        <f t="shared" si="340"/>
        <v xml:space="preserve"> </v>
      </c>
      <c r="AD413" s="176">
        <f t="shared" si="341"/>
        <v>0</v>
      </c>
      <c r="AE413" s="178" t="str">
        <f t="shared" si="342"/>
        <v xml:space="preserve"> </v>
      </c>
      <c r="AF413" s="176">
        <f t="shared" si="343"/>
        <v>0</v>
      </c>
      <c r="AG413" s="178" t="str">
        <f t="shared" si="344"/>
        <v/>
      </c>
      <c r="AH413" s="176">
        <f t="shared" si="345"/>
        <v>0</v>
      </c>
    </row>
    <row r="414" spans="2:34" ht="16.5" outlineLevel="1" x14ac:dyDescent="0.25">
      <c r="B414" s="175" t="s">
        <v>2591</v>
      </c>
      <c r="C414" s="176">
        <v>3.14</v>
      </c>
      <c r="D414" s="176">
        <v>7.1</v>
      </c>
      <c r="E414" s="194">
        <v>3</v>
      </c>
      <c r="F414" s="194">
        <v>2.1</v>
      </c>
      <c r="G414" s="194">
        <f t="shared" si="346"/>
        <v>0.89999999999999991</v>
      </c>
      <c r="H414" s="176"/>
      <c r="I414" s="178" t="str">
        <f t="shared" si="328"/>
        <v>X</v>
      </c>
      <c r="J414" s="176">
        <f t="shared" ref="J414:J424" si="351">IF(I414="X",($D414-H414)*E414,0)</f>
        <v>21.299999999999997</v>
      </c>
      <c r="K414" s="178" t="str">
        <f t="shared" si="330"/>
        <v>X</v>
      </c>
      <c r="L414" s="176">
        <f t="shared" ref="L414:L424" si="352">IF(K414="X",($D414-H414)*F414,0)</f>
        <v>14.91</v>
      </c>
      <c r="M414" s="178" t="str">
        <f t="shared" si="332"/>
        <v>X</v>
      </c>
      <c r="N414" s="177">
        <f t="shared" ref="N414:N424" si="353">IF(M414="X",J414-L414,0)</f>
        <v>6.389999999999997</v>
      </c>
      <c r="O414" s="178" t="str">
        <f t="shared" si="334"/>
        <v>X</v>
      </c>
      <c r="P414" s="176">
        <f t="shared" ref="P414:P424" si="354">IF(L414&gt;0,L414,0)</f>
        <v>14.91</v>
      </c>
      <c r="Q414" s="178" t="s">
        <v>0</v>
      </c>
      <c r="R414" s="176"/>
      <c r="S414" s="178" t="s">
        <v>2578</v>
      </c>
      <c r="T414" s="178" t="str">
        <f t="shared" si="335"/>
        <v>X</v>
      </c>
      <c r="U414" s="176">
        <f t="shared" si="348"/>
        <v>6.389999999999997</v>
      </c>
      <c r="V414" s="178" t="str">
        <f t="shared" si="336"/>
        <v xml:space="preserve"> </v>
      </c>
      <c r="W414" s="176">
        <f t="shared" si="349"/>
        <v>0</v>
      </c>
      <c r="X414" s="178" t="str">
        <f t="shared" si="337"/>
        <v xml:space="preserve"> </v>
      </c>
      <c r="Y414" s="176">
        <f t="shared" si="350"/>
        <v>0</v>
      </c>
      <c r="Z414" s="178" t="s">
        <v>2581</v>
      </c>
      <c r="AA414" s="178" t="str">
        <f t="shared" si="338"/>
        <v>X</v>
      </c>
      <c r="AB414" s="176">
        <f t="shared" si="339"/>
        <v>3.14</v>
      </c>
      <c r="AC414" s="178" t="str">
        <f t="shared" si="340"/>
        <v xml:space="preserve"> </v>
      </c>
      <c r="AD414" s="176">
        <f t="shared" si="341"/>
        <v>0</v>
      </c>
      <c r="AE414" s="178" t="str">
        <f t="shared" si="342"/>
        <v xml:space="preserve"> </v>
      </c>
      <c r="AF414" s="176">
        <f t="shared" si="343"/>
        <v>0</v>
      </c>
      <c r="AG414" s="178" t="str">
        <f t="shared" si="344"/>
        <v/>
      </c>
      <c r="AH414" s="176">
        <f t="shared" si="345"/>
        <v>0</v>
      </c>
    </row>
    <row r="415" spans="2:34" ht="16.5" outlineLevel="1" x14ac:dyDescent="0.25">
      <c r="B415" s="175" t="s">
        <v>2655</v>
      </c>
      <c r="C415" s="176">
        <v>6.48</v>
      </c>
      <c r="D415" s="176">
        <v>10.34</v>
      </c>
      <c r="E415" s="194">
        <v>3</v>
      </c>
      <c r="F415" s="194">
        <v>0</v>
      </c>
      <c r="G415" s="194">
        <f t="shared" si="346"/>
        <v>3</v>
      </c>
      <c r="H415" s="176"/>
      <c r="I415" s="178" t="str">
        <f t="shared" si="328"/>
        <v>X</v>
      </c>
      <c r="J415" s="176">
        <f t="shared" si="351"/>
        <v>31.02</v>
      </c>
      <c r="K415" s="178" t="str">
        <f t="shared" si="330"/>
        <v xml:space="preserve"> </v>
      </c>
      <c r="L415" s="176">
        <f t="shared" si="352"/>
        <v>0</v>
      </c>
      <c r="M415" s="178" t="str">
        <f t="shared" si="332"/>
        <v>X</v>
      </c>
      <c r="N415" s="177">
        <f t="shared" si="353"/>
        <v>31.02</v>
      </c>
      <c r="O415" s="178" t="str">
        <f t="shared" si="334"/>
        <v xml:space="preserve"> </v>
      </c>
      <c r="P415" s="176">
        <f t="shared" si="354"/>
        <v>0</v>
      </c>
      <c r="Q415" s="178" t="s">
        <v>0</v>
      </c>
      <c r="R415" s="176"/>
      <c r="S415" s="178" t="s">
        <v>2578</v>
      </c>
      <c r="T415" s="178" t="str">
        <f t="shared" si="335"/>
        <v>X</v>
      </c>
      <c r="U415" s="176">
        <f t="shared" si="348"/>
        <v>31.02</v>
      </c>
      <c r="V415" s="178" t="str">
        <f t="shared" si="336"/>
        <v xml:space="preserve"> </v>
      </c>
      <c r="W415" s="176">
        <f t="shared" si="349"/>
        <v>0</v>
      </c>
      <c r="X415" s="178" t="str">
        <f t="shared" si="337"/>
        <v xml:space="preserve"> </v>
      </c>
      <c r="Y415" s="176">
        <f t="shared" si="350"/>
        <v>0</v>
      </c>
      <c r="Z415" s="178" t="s">
        <v>2581</v>
      </c>
      <c r="AA415" s="178" t="str">
        <f t="shared" si="338"/>
        <v>X</v>
      </c>
      <c r="AB415" s="176">
        <f t="shared" si="339"/>
        <v>6.48</v>
      </c>
      <c r="AC415" s="178" t="str">
        <f t="shared" si="340"/>
        <v xml:space="preserve"> </v>
      </c>
      <c r="AD415" s="176">
        <f t="shared" si="341"/>
        <v>0</v>
      </c>
      <c r="AE415" s="178" t="str">
        <f t="shared" si="342"/>
        <v xml:space="preserve"> </v>
      </c>
      <c r="AF415" s="176">
        <f t="shared" si="343"/>
        <v>0</v>
      </c>
      <c r="AG415" s="178" t="str">
        <f t="shared" si="344"/>
        <v>X</v>
      </c>
      <c r="AH415" s="176">
        <f t="shared" si="345"/>
        <v>10.34</v>
      </c>
    </row>
    <row r="416" spans="2:34" ht="16.5" outlineLevel="1" x14ac:dyDescent="0.25">
      <c r="B416" s="175" t="s">
        <v>2822</v>
      </c>
      <c r="C416" s="176">
        <v>7.16</v>
      </c>
      <c r="D416" s="176">
        <v>10.83</v>
      </c>
      <c r="E416" s="194">
        <v>3</v>
      </c>
      <c r="F416" s="194">
        <v>0</v>
      </c>
      <c r="G416" s="194">
        <f t="shared" si="346"/>
        <v>3</v>
      </c>
      <c r="H416" s="176"/>
      <c r="I416" s="178" t="str">
        <f t="shared" si="328"/>
        <v>X</v>
      </c>
      <c r="J416" s="176">
        <f t="shared" si="351"/>
        <v>32.49</v>
      </c>
      <c r="K416" s="178" t="str">
        <f t="shared" si="330"/>
        <v xml:space="preserve"> </v>
      </c>
      <c r="L416" s="176">
        <f t="shared" si="352"/>
        <v>0</v>
      </c>
      <c r="M416" s="178" t="str">
        <f t="shared" si="332"/>
        <v>X</v>
      </c>
      <c r="N416" s="177">
        <f t="shared" si="353"/>
        <v>32.49</v>
      </c>
      <c r="O416" s="178" t="str">
        <f t="shared" si="334"/>
        <v xml:space="preserve"> </v>
      </c>
      <c r="P416" s="176">
        <f t="shared" si="354"/>
        <v>0</v>
      </c>
      <c r="Q416" s="178" t="s">
        <v>0</v>
      </c>
      <c r="R416" s="176"/>
      <c r="S416" s="178" t="s">
        <v>2578</v>
      </c>
      <c r="T416" s="178" t="str">
        <f t="shared" si="335"/>
        <v>X</v>
      </c>
      <c r="U416" s="176">
        <f t="shared" si="348"/>
        <v>32.49</v>
      </c>
      <c r="V416" s="178" t="str">
        <f t="shared" si="336"/>
        <v xml:space="preserve"> </v>
      </c>
      <c r="W416" s="176">
        <f t="shared" si="349"/>
        <v>0</v>
      </c>
      <c r="X416" s="178" t="str">
        <f t="shared" si="337"/>
        <v xml:space="preserve"> </v>
      </c>
      <c r="Y416" s="176">
        <f t="shared" si="350"/>
        <v>0</v>
      </c>
      <c r="Z416" s="178" t="s">
        <v>2581</v>
      </c>
      <c r="AA416" s="178" t="str">
        <f t="shared" si="338"/>
        <v>X</v>
      </c>
      <c r="AB416" s="176">
        <f t="shared" si="339"/>
        <v>7.16</v>
      </c>
      <c r="AC416" s="178" t="str">
        <f t="shared" si="340"/>
        <v xml:space="preserve"> </v>
      </c>
      <c r="AD416" s="176">
        <f t="shared" si="341"/>
        <v>0</v>
      </c>
      <c r="AE416" s="178" t="str">
        <f t="shared" si="342"/>
        <v xml:space="preserve"> </v>
      </c>
      <c r="AF416" s="176">
        <f t="shared" si="343"/>
        <v>0</v>
      </c>
      <c r="AG416" s="178" t="str">
        <f t="shared" si="344"/>
        <v>X</v>
      </c>
      <c r="AH416" s="176">
        <f t="shared" si="345"/>
        <v>10.83</v>
      </c>
    </row>
    <row r="417" spans="2:34" ht="16.5" outlineLevel="1" x14ac:dyDescent="0.25">
      <c r="B417" s="175" t="s">
        <v>2823</v>
      </c>
      <c r="C417" s="176">
        <v>9.93</v>
      </c>
      <c r="D417" s="176">
        <v>13.44</v>
      </c>
      <c r="E417" s="194">
        <v>3</v>
      </c>
      <c r="F417" s="194">
        <v>2.1</v>
      </c>
      <c r="G417" s="194">
        <f t="shared" si="346"/>
        <v>0.89999999999999991</v>
      </c>
      <c r="H417" s="176"/>
      <c r="I417" s="178" t="str">
        <f t="shared" si="328"/>
        <v>X</v>
      </c>
      <c r="J417" s="176">
        <f t="shared" si="351"/>
        <v>40.32</v>
      </c>
      <c r="K417" s="178" t="str">
        <f t="shared" si="330"/>
        <v>X</v>
      </c>
      <c r="L417" s="176">
        <f t="shared" si="352"/>
        <v>28.224</v>
      </c>
      <c r="M417" s="178" t="str">
        <f t="shared" si="332"/>
        <v>X</v>
      </c>
      <c r="N417" s="177">
        <f t="shared" si="353"/>
        <v>12.096</v>
      </c>
      <c r="O417" s="178" t="str">
        <f t="shared" si="334"/>
        <v>X</v>
      </c>
      <c r="P417" s="176">
        <f t="shared" si="354"/>
        <v>28.224</v>
      </c>
      <c r="Q417" s="178" t="s">
        <v>0</v>
      </c>
      <c r="R417" s="176"/>
      <c r="S417" s="178" t="s">
        <v>2578</v>
      </c>
      <c r="T417" s="178" t="str">
        <f t="shared" si="335"/>
        <v>X</v>
      </c>
      <c r="U417" s="176">
        <f t="shared" si="348"/>
        <v>12.096</v>
      </c>
      <c r="V417" s="178" t="str">
        <f t="shared" si="336"/>
        <v xml:space="preserve"> </v>
      </c>
      <c r="W417" s="176">
        <f t="shared" si="349"/>
        <v>0</v>
      </c>
      <c r="X417" s="178" t="str">
        <f t="shared" si="337"/>
        <v xml:space="preserve"> </v>
      </c>
      <c r="Y417" s="176">
        <f t="shared" si="350"/>
        <v>0</v>
      </c>
      <c r="Z417" s="178" t="s">
        <v>2581</v>
      </c>
      <c r="AA417" s="178" t="str">
        <f t="shared" si="338"/>
        <v>X</v>
      </c>
      <c r="AB417" s="176">
        <f t="shared" si="339"/>
        <v>9.93</v>
      </c>
      <c r="AC417" s="178" t="str">
        <f t="shared" si="340"/>
        <v xml:space="preserve"> </v>
      </c>
      <c r="AD417" s="176">
        <f t="shared" si="341"/>
        <v>0</v>
      </c>
      <c r="AE417" s="178" t="str">
        <f t="shared" si="342"/>
        <v xml:space="preserve"> </v>
      </c>
      <c r="AF417" s="176">
        <f t="shared" si="343"/>
        <v>0</v>
      </c>
      <c r="AG417" s="178" t="str">
        <f t="shared" si="344"/>
        <v/>
      </c>
      <c r="AH417" s="176">
        <f t="shared" si="345"/>
        <v>0</v>
      </c>
    </row>
    <row r="418" spans="2:34" ht="16.5" outlineLevel="1" x14ac:dyDescent="0.25">
      <c r="B418" s="175" t="s">
        <v>2678</v>
      </c>
      <c r="C418" s="176">
        <v>5.69</v>
      </c>
      <c r="D418" s="176">
        <v>10.58</v>
      </c>
      <c r="E418" s="194">
        <v>3</v>
      </c>
      <c r="F418" s="194">
        <v>2.1</v>
      </c>
      <c r="G418" s="194">
        <f t="shared" si="346"/>
        <v>0.89999999999999991</v>
      </c>
      <c r="H418" s="176"/>
      <c r="I418" s="178" t="str">
        <f t="shared" si="328"/>
        <v>X</v>
      </c>
      <c r="J418" s="176">
        <f t="shared" si="351"/>
        <v>31.740000000000002</v>
      </c>
      <c r="K418" s="178" t="str">
        <f t="shared" si="330"/>
        <v>X</v>
      </c>
      <c r="L418" s="176">
        <f t="shared" si="352"/>
        <v>22.218</v>
      </c>
      <c r="M418" s="178" t="str">
        <f t="shared" si="332"/>
        <v>X</v>
      </c>
      <c r="N418" s="177">
        <f t="shared" si="353"/>
        <v>9.522000000000002</v>
      </c>
      <c r="O418" s="178" t="str">
        <f t="shared" si="334"/>
        <v>X</v>
      </c>
      <c r="P418" s="176">
        <f t="shared" si="354"/>
        <v>22.218</v>
      </c>
      <c r="Q418" s="178" t="s">
        <v>0</v>
      </c>
      <c r="R418" s="176"/>
      <c r="S418" s="178" t="s">
        <v>2578</v>
      </c>
      <c r="T418" s="178" t="str">
        <f t="shared" si="335"/>
        <v>X</v>
      </c>
      <c r="U418" s="176">
        <f t="shared" si="348"/>
        <v>9.522000000000002</v>
      </c>
      <c r="V418" s="178" t="str">
        <f t="shared" si="336"/>
        <v xml:space="preserve"> </v>
      </c>
      <c r="W418" s="176">
        <f t="shared" si="349"/>
        <v>0</v>
      </c>
      <c r="X418" s="178" t="str">
        <f t="shared" si="337"/>
        <v xml:space="preserve"> </v>
      </c>
      <c r="Y418" s="176">
        <f t="shared" si="350"/>
        <v>0</v>
      </c>
      <c r="Z418" s="178" t="s">
        <v>2581</v>
      </c>
      <c r="AA418" s="178" t="str">
        <f t="shared" si="338"/>
        <v>X</v>
      </c>
      <c r="AB418" s="176">
        <f t="shared" si="339"/>
        <v>5.69</v>
      </c>
      <c r="AC418" s="178" t="str">
        <f t="shared" si="340"/>
        <v xml:space="preserve"> </v>
      </c>
      <c r="AD418" s="176">
        <f t="shared" si="341"/>
        <v>0</v>
      </c>
      <c r="AE418" s="178" t="str">
        <f t="shared" si="342"/>
        <v xml:space="preserve"> </v>
      </c>
      <c r="AF418" s="176">
        <f t="shared" si="343"/>
        <v>0</v>
      </c>
      <c r="AG418" s="178" t="str">
        <f t="shared" si="344"/>
        <v/>
      </c>
      <c r="AH418" s="176">
        <f t="shared" si="345"/>
        <v>0</v>
      </c>
    </row>
    <row r="419" spans="2:34" ht="16.5" outlineLevel="1" x14ac:dyDescent="0.25">
      <c r="B419" s="175" t="s">
        <v>2667</v>
      </c>
      <c r="C419" s="176">
        <v>25.26</v>
      </c>
      <c r="D419" s="176">
        <v>21.06</v>
      </c>
      <c r="E419" s="194">
        <v>3</v>
      </c>
      <c r="F419" s="194">
        <v>0</v>
      </c>
      <c r="G419" s="194">
        <f t="shared" si="346"/>
        <v>3</v>
      </c>
      <c r="H419" s="176"/>
      <c r="I419" s="178" t="str">
        <f t="shared" si="328"/>
        <v>X</v>
      </c>
      <c r="J419" s="176">
        <f t="shared" si="351"/>
        <v>63.179999999999993</v>
      </c>
      <c r="K419" s="178" t="str">
        <f t="shared" si="330"/>
        <v xml:space="preserve"> </v>
      </c>
      <c r="L419" s="176">
        <f t="shared" si="352"/>
        <v>0</v>
      </c>
      <c r="M419" s="178" t="str">
        <f t="shared" si="332"/>
        <v>X</v>
      </c>
      <c r="N419" s="177">
        <f t="shared" si="353"/>
        <v>63.179999999999993</v>
      </c>
      <c r="O419" s="178" t="str">
        <f t="shared" si="334"/>
        <v xml:space="preserve"> </v>
      </c>
      <c r="P419" s="176">
        <v>1</v>
      </c>
      <c r="Q419" s="178" t="s">
        <v>0</v>
      </c>
      <c r="R419" s="176"/>
      <c r="S419" s="178" t="s">
        <v>2578</v>
      </c>
      <c r="T419" s="178" t="str">
        <f t="shared" si="335"/>
        <v>X</v>
      </c>
      <c r="U419" s="176">
        <f t="shared" si="348"/>
        <v>63.179999999999993</v>
      </c>
      <c r="V419" s="178" t="str">
        <f t="shared" si="336"/>
        <v xml:space="preserve"> </v>
      </c>
      <c r="W419" s="176">
        <f t="shared" si="349"/>
        <v>0</v>
      </c>
      <c r="X419" s="178" t="str">
        <f t="shared" si="337"/>
        <v xml:space="preserve"> </v>
      </c>
      <c r="Y419" s="176">
        <f t="shared" si="350"/>
        <v>0</v>
      </c>
      <c r="Z419" s="178" t="s">
        <v>2581</v>
      </c>
      <c r="AA419" s="178" t="str">
        <f t="shared" si="338"/>
        <v>X</v>
      </c>
      <c r="AB419" s="176">
        <f t="shared" si="339"/>
        <v>25.26</v>
      </c>
      <c r="AC419" s="178" t="str">
        <f t="shared" si="340"/>
        <v xml:space="preserve"> </v>
      </c>
      <c r="AD419" s="176">
        <f t="shared" si="341"/>
        <v>0</v>
      </c>
      <c r="AE419" s="178" t="str">
        <f t="shared" si="342"/>
        <v xml:space="preserve"> </v>
      </c>
      <c r="AF419" s="176">
        <f t="shared" si="343"/>
        <v>0</v>
      </c>
      <c r="AG419" s="178" t="str">
        <f t="shared" si="344"/>
        <v>X</v>
      </c>
      <c r="AH419" s="176">
        <f t="shared" si="345"/>
        <v>21.06</v>
      </c>
    </row>
    <row r="420" spans="2:34" ht="16.5" outlineLevel="1" x14ac:dyDescent="0.25">
      <c r="B420" s="175" t="s">
        <v>2668</v>
      </c>
      <c r="C420" s="176">
        <v>5.19</v>
      </c>
      <c r="D420" s="176">
        <v>10</v>
      </c>
      <c r="E420" s="194">
        <v>3</v>
      </c>
      <c r="F420" s="194">
        <v>2.1</v>
      </c>
      <c r="G420" s="194">
        <f t="shared" si="346"/>
        <v>0.89999999999999991</v>
      </c>
      <c r="H420" s="176"/>
      <c r="I420" s="178" t="str">
        <f t="shared" si="328"/>
        <v>X</v>
      </c>
      <c r="J420" s="176">
        <f t="shared" si="351"/>
        <v>30</v>
      </c>
      <c r="K420" s="178" t="str">
        <f t="shared" si="330"/>
        <v>X</v>
      </c>
      <c r="L420" s="176">
        <f t="shared" si="352"/>
        <v>21</v>
      </c>
      <c r="M420" s="178" t="str">
        <f t="shared" si="332"/>
        <v>X</v>
      </c>
      <c r="N420" s="177">
        <f t="shared" si="353"/>
        <v>9</v>
      </c>
      <c r="O420" s="178" t="str">
        <f t="shared" si="334"/>
        <v>X</v>
      </c>
      <c r="P420" s="176">
        <f t="shared" si="354"/>
        <v>21</v>
      </c>
      <c r="Q420" s="178" t="s">
        <v>0</v>
      </c>
      <c r="R420" s="176"/>
      <c r="S420" s="178" t="s">
        <v>2578</v>
      </c>
      <c r="T420" s="178" t="str">
        <f t="shared" si="335"/>
        <v>X</v>
      </c>
      <c r="U420" s="176">
        <f t="shared" si="348"/>
        <v>9</v>
      </c>
      <c r="V420" s="178" t="str">
        <f t="shared" si="336"/>
        <v xml:space="preserve"> </v>
      </c>
      <c r="W420" s="176">
        <f t="shared" si="349"/>
        <v>0</v>
      </c>
      <c r="X420" s="178" t="str">
        <f t="shared" si="337"/>
        <v xml:space="preserve"> </v>
      </c>
      <c r="Y420" s="176">
        <f t="shared" si="350"/>
        <v>0</v>
      </c>
      <c r="Z420" s="178" t="s">
        <v>2581</v>
      </c>
      <c r="AA420" s="178" t="str">
        <f t="shared" si="338"/>
        <v>X</v>
      </c>
      <c r="AB420" s="176">
        <f t="shared" si="339"/>
        <v>5.19</v>
      </c>
      <c r="AC420" s="178" t="str">
        <f t="shared" si="340"/>
        <v xml:space="preserve"> </v>
      </c>
      <c r="AD420" s="176">
        <f t="shared" si="341"/>
        <v>0</v>
      </c>
      <c r="AE420" s="178" t="str">
        <f t="shared" si="342"/>
        <v xml:space="preserve"> </v>
      </c>
      <c r="AF420" s="176">
        <f t="shared" si="343"/>
        <v>0</v>
      </c>
      <c r="AG420" s="178" t="str">
        <f t="shared" si="344"/>
        <v/>
      </c>
      <c r="AH420" s="176">
        <f t="shared" si="345"/>
        <v>0</v>
      </c>
    </row>
    <row r="421" spans="2:34" ht="16.5" outlineLevel="1" x14ac:dyDescent="0.25">
      <c r="B421" s="175" t="s">
        <v>2673</v>
      </c>
      <c r="C421" s="176">
        <v>25.3</v>
      </c>
      <c r="D421" s="176">
        <v>21.08</v>
      </c>
      <c r="E421" s="194">
        <v>3</v>
      </c>
      <c r="F421" s="194">
        <v>0</v>
      </c>
      <c r="G421" s="194">
        <f t="shared" si="346"/>
        <v>3</v>
      </c>
      <c r="H421" s="176"/>
      <c r="I421" s="178" t="str">
        <f t="shared" si="328"/>
        <v>X</v>
      </c>
      <c r="J421" s="176">
        <f t="shared" si="351"/>
        <v>63.239999999999995</v>
      </c>
      <c r="K421" s="178" t="str">
        <f t="shared" si="330"/>
        <v xml:space="preserve"> </v>
      </c>
      <c r="L421" s="176">
        <f t="shared" si="352"/>
        <v>0</v>
      </c>
      <c r="M421" s="178" t="str">
        <f t="shared" si="332"/>
        <v>X</v>
      </c>
      <c r="N421" s="177">
        <f t="shared" si="353"/>
        <v>63.239999999999995</v>
      </c>
      <c r="O421" s="178" t="str">
        <f t="shared" si="334"/>
        <v xml:space="preserve"> </v>
      </c>
      <c r="P421" s="176">
        <v>1</v>
      </c>
      <c r="Q421" s="178" t="s">
        <v>0</v>
      </c>
      <c r="R421" s="176"/>
      <c r="S421" s="178" t="s">
        <v>2578</v>
      </c>
      <c r="T421" s="178" t="str">
        <f t="shared" si="335"/>
        <v>X</v>
      </c>
      <c r="U421" s="176">
        <f t="shared" si="348"/>
        <v>63.239999999999995</v>
      </c>
      <c r="V421" s="178" t="str">
        <f t="shared" si="336"/>
        <v xml:space="preserve"> </v>
      </c>
      <c r="W421" s="176">
        <f t="shared" si="349"/>
        <v>0</v>
      </c>
      <c r="X421" s="178" t="str">
        <f t="shared" si="337"/>
        <v xml:space="preserve"> </v>
      </c>
      <c r="Y421" s="176">
        <f t="shared" si="350"/>
        <v>0</v>
      </c>
      <c r="Z421" s="178" t="s">
        <v>2581</v>
      </c>
      <c r="AA421" s="178" t="str">
        <f t="shared" si="338"/>
        <v>X</v>
      </c>
      <c r="AB421" s="176">
        <f t="shared" si="339"/>
        <v>25.3</v>
      </c>
      <c r="AC421" s="178" t="str">
        <f t="shared" si="340"/>
        <v xml:space="preserve"> </v>
      </c>
      <c r="AD421" s="176">
        <f t="shared" si="341"/>
        <v>0</v>
      </c>
      <c r="AE421" s="178" t="str">
        <f t="shared" si="342"/>
        <v xml:space="preserve"> </v>
      </c>
      <c r="AF421" s="176">
        <f t="shared" si="343"/>
        <v>0</v>
      </c>
      <c r="AG421" s="178" t="str">
        <f t="shared" si="344"/>
        <v>X</v>
      </c>
      <c r="AH421" s="176">
        <f t="shared" si="345"/>
        <v>21.08</v>
      </c>
    </row>
    <row r="422" spans="2:34" ht="16.5" outlineLevel="1" x14ac:dyDescent="0.25">
      <c r="B422" s="175" t="s">
        <v>2674</v>
      </c>
      <c r="C422" s="176">
        <v>5.19</v>
      </c>
      <c r="D422" s="176">
        <v>10</v>
      </c>
      <c r="E422" s="194">
        <v>3</v>
      </c>
      <c r="F422" s="194">
        <v>2.1</v>
      </c>
      <c r="G422" s="194">
        <f t="shared" si="346"/>
        <v>0.89999999999999991</v>
      </c>
      <c r="H422" s="176"/>
      <c r="I422" s="178" t="str">
        <f t="shared" si="328"/>
        <v>X</v>
      </c>
      <c r="J422" s="176">
        <f t="shared" si="351"/>
        <v>30</v>
      </c>
      <c r="K422" s="178" t="str">
        <f t="shared" si="330"/>
        <v>X</v>
      </c>
      <c r="L422" s="176">
        <f t="shared" si="352"/>
        <v>21</v>
      </c>
      <c r="M422" s="178" t="str">
        <f t="shared" si="332"/>
        <v>X</v>
      </c>
      <c r="N422" s="177">
        <f t="shared" si="353"/>
        <v>9</v>
      </c>
      <c r="O422" s="178" t="str">
        <f t="shared" si="334"/>
        <v>X</v>
      </c>
      <c r="P422" s="176">
        <f t="shared" si="354"/>
        <v>21</v>
      </c>
      <c r="Q422" s="178" t="s">
        <v>0</v>
      </c>
      <c r="R422" s="176"/>
      <c r="S422" s="178" t="s">
        <v>2578</v>
      </c>
      <c r="T422" s="178" t="str">
        <f t="shared" si="335"/>
        <v>X</v>
      </c>
      <c r="U422" s="176">
        <f t="shared" si="348"/>
        <v>9</v>
      </c>
      <c r="V422" s="178" t="str">
        <f t="shared" si="336"/>
        <v xml:space="preserve"> </v>
      </c>
      <c r="W422" s="176">
        <f t="shared" si="349"/>
        <v>0</v>
      </c>
      <c r="X422" s="178" t="str">
        <f t="shared" si="337"/>
        <v xml:space="preserve"> </v>
      </c>
      <c r="Y422" s="176">
        <f t="shared" si="350"/>
        <v>0</v>
      </c>
      <c r="Z422" s="178" t="s">
        <v>2581</v>
      </c>
      <c r="AA422" s="178" t="str">
        <f t="shared" si="338"/>
        <v>X</v>
      </c>
      <c r="AB422" s="176">
        <f t="shared" si="339"/>
        <v>5.19</v>
      </c>
      <c r="AC422" s="178" t="str">
        <f t="shared" si="340"/>
        <v xml:space="preserve"> </v>
      </c>
      <c r="AD422" s="176">
        <f t="shared" si="341"/>
        <v>0</v>
      </c>
      <c r="AE422" s="178" t="str">
        <f t="shared" si="342"/>
        <v xml:space="preserve"> </v>
      </c>
      <c r="AF422" s="176">
        <f t="shared" si="343"/>
        <v>0</v>
      </c>
      <c r="AG422" s="178" t="str">
        <f t="shared" si="344"/>
        <v/>
      </c>
      <c r="AH422" s="176">
        <f t="shared" si="345"/>
        <v>0</v>
      </c>
    </row>
    <row r="423" spans="2:34" ht="16.5" outlineLevel="1" x14ac:dyDescent="0.25">
      <c r="B423" s="175" t="s">
        <v>2594</v>
      </c>
      <c r="C423" s="176">
        <v>29.17</v>
      </c>
      <c r="D423" s="176">
        <v>30.67</v>
      </c>
      <c r="E423" s="194">
        <v>3</v>
      </c>
      <c r="F423" s="194">
        <v>0</v>
      </c>
      <c r="G423" s="194">
        <f t="shared" si="346"/>
        <v>3</v>
      </c>
      <c r="H423" s="176"/>
      <c r="I423" s="178" t="str">
        <f t="shared" si="328"/>
        <v>X</v>
      </c>
      <c r="J423" s="176">
        <f t="shared" si="351"/>
        <v>92.01</v>
      </c>
      <c r="K423" s="178" t="str">
        <f t="shared" si="330"/>
        <v xml:space="preserve"> </v>
      </c>
      <c r="L423" s="176">
        <f t="shared" si="352"/>
        <v>0</v>
      </c>
      <c r="M423" s="178" t="str">
        <f t="shared" si="332"/>
        <v>X</v>
      </c>
      <c r="N423" s="177">
        <f t="shared" si="353"/>
        <v>92.01</v>
      </c>
      <c r="O423" s="178" t="str">
        <f t="shared" si="334"/>
        <v xml:space="preserve"> </v>
      </c>
      <c r="P423" s="176">
        <f t="shared" si="354"/>
        <v>0</v>
      </c>
      <c r="Q423" s="178" t="s">
        <v>0</v>
      </c>
      <c r="R423" s="176"/>
      <c r="S423" s="178" t="s">
        <v>2578</v>
      </c>
      <c r="T423" s="178" t="str">
        <f t="shared" si="335"/>
        <v>X</v>
      </c>
      <c r="U423" s="176">
        <f t="shared" si="348"/>
        <v>92.01</v>
      </c>
      <c r="V423" s="178" t="str">
        <f t="shared" si="336"/>
        <v xml:space="preserve"> </v>
      </c>
      <c r="W423" s="176">
        <f t="shared" si="349"/>
        <v>0</v>
      </c>
      <c r="X423" s="178" t="str">
        <f t="shared" si="337"/>
        <v xml:space="preserve"> </v>
      </c>
      <c r="Y423" s="176">
        <f t="shared" si="350"/>
        <v>0</v>
      </c>
      <c r="Z423" s="178" t="s">
        <v>2582</v>
      </c>
      <c r="AA423" s="178" t="str">
        <f t="shared" si="338"/>
        <v xml:space="preserve"> </v>
      </c>
      <c r="AB423" s="176">
        <f t="shared" si="339"/>
        <v>0</v>
      </c>
      <c r="AC423" s="178" t="str">
        <f t="shared" si="340"/>
        <v>X</v>
      </c>
      <c r="AD423" s="176">
        <f t="shared" si="341"/>
        <v>29.17</v>
      </c>
      <c r="AE423" s="178" t="str">
        <f t="shared" si="342"/>
        <v xml:space="preserve"> </v>
      </c>
      <c r="AF423" s="176">
        <f t="shared" si="343"/>
        <v>0</v>
      </c>
      <c r="AG423" s="178" t="str">
        <f t="shared" si="344"/>
        <v>X</v>
      </c>
      <c r="AH423" s="176">
        <f t="shared" si="345"/>
        <v>30.67</v>
      </c>
    </row>
    <row r="424" spans="2:34" ht="16.5" outlineLevel="1" x14ac:dyDescent="0.25">
      <c r="B424" s="175" t="s">
        <v>2824</v>
      </c>
      <c r="C424" s="176">
        <v>12.77</v>
      </c>
      <c r="D424" s="176">
        <v>14.38</v>
      </c>
      <c r="E424" s="194">
        <v>3</v>
      </c>
      <c r="F424" s="194">
        <v>0</v>
      </c>
      <c r="G424" s="194">
        <f t="shared" si="346"/>
        <v>3</v>
      </c>
      <c r="H424" s="176"/>
      <c r="I424" s="178" t="str">
        <f t="shared" si="328"/>
        <v>X</v>
      </c>
      <c r="J424" s="176">
        <f t="shared" si="351"/>
        <v>43.14</v>
      </c>
      <c r="K424" s="178" t="str">
        <f t="shared" si="330"/>
        <v xml:space="preserve"> </v>
      </c>
      <c r="L424" s="176">
        <f t="shared" si="352"/>
        <v>0</v>
      </c>
      <c r="M424" s="178" t="str">
        <f t="shared" si="332"/>
        <v>X</v>
      </c>
      <c r="N424" s="177">
        <f t="shared" si="353"/>
        <v>43.14</v>
      </c>
      <c r="O424" s="178" t="str">
        <f t="shared" si="334"/>
        <v xml:space="preserve"> </v>
      </c>
      <c r="P424" s="176">
        <f t="shared" si="354"/>
        <v>0</v>
      </c>
      <c r="Q424" s="178" t="s">
        <v>0</v>
      </c>
      <c r="R424" s="176"/>
      <c r="S424" s="178" t="s">
        <v>2578</v>
      </c>
      <c r="T424" s="178" t="str">
        <f t="shared" si="335"/>
        <v>X</v>
      </c>
      <c r="U424" s="176">
        <f t="shared" si="348"/>
        <v>43.14</v>
      </c>
      <c r="V424" s="178" t="str">
        <f t="shared" si="336"/>
        <v xml:space="preserve"> </v>
      </c>
      <c r="W424" s="176">
        <f t="shared" si="349"/>
        <v>0</v>
      </c>
      <c r="X424" s="178" t="str">
        <f t="shared" si="337"/>
        <v xml:space="preserve"> </v>
      </c>
      <c r="Y424" s="176">
        <f t="shared" si="350"/>
        <v>0</v>
      </c>
      <c r="Z424" s="178" t="s">
        <v>2581</v>
      </c>
      <c r="AA424" s="178" t="str">
        <f t="shared" si="338"/>
        <v>X</v>
      </c>
      <c r="AB424" s="176">
        <f t="shared" si="339"/>
        <v>12.77</v>
      </c>
      <c r="AC424" s="178" t="str">
        <f t="shared" si="340"/>
        <v xml:space="preserve"> </v>
      </c>
      <c r="AD424" s="176">
        <f t="shared" si="341"/>
        <v>0</v>
      </c>
      <c r="AE424" s="178" t="str">
        <f t="shared" si="342"/>
        <v xml:space="preserve"> </v>
      </c>
      <c r="AF424" s="176">
        <f t="shared" si="343"/>
        <v>0</v>
      </c>
      <c r="AG424" s="178" t="str">
        <f t="shared" si="344"/>
        <v>X</v>
      </c>
      <c r="AH424" s="176">
        <f t="shared" si="345"/>
        <v>14.38</v>
      </c>
    </row>
    <row r="425" spans="2:34" ht="16.5" x14ac:dyDescent="0.25">
      <c r="B425" s="182"/>
      <c r="C425" s="185"/>
      <c r="D425" s="185"/>
      <c r="E425" s="185"/>
      <c r="F425" s="185"/>
      <c r="G425" s="185"/>
      <c r="H425" s="185"/>
      <c r="I425" s="184"/>
      <c r="J425" s="185"/>
      <c r="K425" s="184"/>
      <c r="L425" s="185"/>
      <c r="M425" s="184"/>
      <c r="N425" s="185"/>
      <c r="O425" s="201"/>
      <c r="P425" s="185"/>
      <c r="Q425" s="184"/>
      <c r="R425" s="189"/>
      <c r="S425" s="185"/>
      <c r="T425" s="184"/>
      <c r="U425" s="185"/>
      <c r="V425" s="184"/>
      <c r="W425" s="185"/>
      <c r="X425" s="184"/>
      <c r="Y425" s="189"/>
      <c r="Z425" s="185"/>
      <c r="AA425" s="184"/>
      <c r="AB425" s="185"/>
      <c r="AC425" s="184"/>
      <c r="AD425" s="185"/>
      <c r="AE425" s="184"/>
      <c r="AF425" s="189"/>
      <c r="AG425" s="184"/>
      <c r="AH425" s="189"/>
    </row>
    <row r="426" spans="2:34" ht="16.5" x14ac:dyDescent="0.25">
      <c r="B426" s="929" t="s">
        <v>2825</v>
      </c>
      <c r="C426" s="930"/>
      <c r="D426" s="930"/>
      <c r="E426" s="930"/>
      <c r="F426" s="930"/>
      <c r="G426" s="930"/>
      <c r="H426" s="931"/>
      <c r="I426" s="190" t="s">
        <v>2586</v>
      </c>
      <c r="J426" s="191">
        <f>SUBTOTAL(9,J427:J453)</f>
        <v>1566.69</v>
      </c>
      <c r="K426" s="192" t="s">
        <v>2586</v>
      </c>
      <c r="L426" s="191">
        <f>SUBTOTAL(9,L427:L453)</f>
        <v>245.28000000000003</v>
      </c>
      <c r="M426" s="190" t="s">
        <v>2586</v>
      </c>
      <c r="N426" s="200">
        <f>SUBTOTAL(9,N427:N453)</f>
        <v>1321.4100000000003</v>
      </c>
      <c r="O426" s="190" t="s">
        <v>2586</v>
      </c>
      <c r="P426" s="191">
        <f>SUBTOTAL(9,P427:P453)</f>
        <v>254.28000000000003</v>
      </c>
      <c r="Q426" s="190" t="s">
        <v>2586</v>
      </c>
      <c r="R426" s="191">
        <f>SUBTOTAL(9,R427:R453)</f>
        <v>0</v>
      </c>
      <c r="S426" s="191"/>
      <c r="T426" s="190" t="s">
        <v>2586</v>
      </c>
      <c r="U426" s="200">
        <f>SUBTOTAL(9,U427:U453)</f>
        <v>1259.0100000000002</v>
      </c>
      <c r="V426" s="190" t="s">
        <v>2586</v>
      </c>
      <c r="W426" s="191">
        <f>SUBTOTAL(9,W427:W453)</f>
        <v>0</v>
      </c>
      <c r="X426" s="190" t="s">
        <v>2586</v>
      </c>
      <c r="Y426" s="191">
        <f>SUBTOTAL(9,Y427:Y453)</f>
        <v>62.400000000000006</v>
      </c>
      <c r="Z426" s="191"/>
      <c r="AA426" s="190" t="s">
        <v>2586</v>
      </c>
      <c r="AB426" s="200">
        <f>SUBTOTAL(9,AB427:AB453)</f>
        <v>269.96999999999997</v>
      </c>
      <c r="AC426" s="190" t="s">
        <v>2586</v>
      </c>
      <c r="AD426" s="191">
        <f>SUBTOTAL(9,AD427:AD453)</f>
        <v>227.37</v>
      </c>
      <c r="AE426" s="190" t="s">
        <v>2586</v>
      </c>
      <c r="AF426" s="191">
        <f>SUBTOTAL(9,AF427:AF453)</f>
        <v>18.920000000000002</v>
      </c>
      <c r="AG426" s="190" t="s">
        <v>2586</v>
      </c>
      <c r="AH426" s="191">
        <f>SUBTOTAL(9,AH427:AH453)</f>
        <v>405.43000000000006</v>
      </c>
    </row>
    <row r="427" spans="2:34" ht="16.5" outlineLevel="1" x14ac:dyDescent="0.25">
      <c r="B427" s="175" t="s">
        <v>2670</v>
      </c>
      <c r="C427" s="176">
        <v>18.920000000000002</v>
      </c>
      <c r="D427" s="176">
        <v>20.8</v>
      </c>
      <c r="E427" s="194">
        <v>3</v>
      </c>
      <c r="F427" s="194">
        <v>0</v>
      </c>
      <c r="G427" s="194">
        <f>E427-F427</f>
        <v>3</v>
      </c>
      <c r="H427" s="176"/>
      <c r="I427" s="178" t="str">
        <f t="shared" ref="I427:I453" si="355">IF($E427&gt;0,"X"," ")</f>
        <v>X</v>
      </c>
      <c r="J427" s="176">
        <f t="shared" ref="J427:J449" si="356">IF(I427="X",($D427-H427)*E427,0)</f>
        <v>62.400000000000006</v>
      </c>
      <c r="K427" s="178" t="str">
        <f t="shared" ref="K427:K453" si="357">IF($F427&gt;0,"X"," ")</f>
        <v xml:space="preserve"> </v>
      </c>
      <c r="L427" s="176">
        <f t="shared" ref="L427:L449" si="358">IF(K427="X",($D427-H427)*F427,0)</f>
        <v>0</v>
      </c>
      <c r="M427" s="178" t="str">
        <f t="shared" ref="M427:M453" si="359">IF($E427&gt;0,"X"," ")</f>
        <v>X</v>
      </c>
      <c r="N427" s="177">
        <f t="shared" ref="N427:N449" si="360">IF(M427="X",J427-L427,0)</f>
        <v>62.400000000000006</v>
      </c>
      <c r="O427" s="178" t="str">
        <f t="shared" ref="O427:O453" si="361">IF($F427&gt;0,"X"," ")</f>
        <v xml:space="preserve"> </v>
      </c>
      <c r="P427" s="176">
        <f t="shared" ref="P427:P448" si="362">IF(L427&gt;0,L427,0)</f>
        <v>0</v>
      </c>
      <c r="Q427" s="178" t="s">
        <v>0</v>
      </c>
      <c r="R427" s="176"/>
      <c r="S427" s="178" t="s">
        <v>2580</v>
      </c>
      <c r="T427" s="178" t="str">
        <f t="shared" si="335"/>
        <v xml:space="preserve"> </v>
      </c>
      <c r="U427" s="176">
        <f>IF(T427="X",$N427,0)</f>
        <v>0</v>
      </c>
      <c r="V427" s="178" t="str">
        <f t="shared" si="336"/>
        <v xml:space="preserve"> </v>
      </c>
      <c r="W427" s="176">
        <f>IF(V427="X",$N427,0)</f>
        <v>0</v>
      </c>
      <c r="X427" s="178" t="str">
        <f t="shared" si="337"/>
        <v>X</v>
      </c>
      <c r="Y427" s="176">
        <f>IF(X427="X",$N427,0)</f>
        <v>62.400000000000006</v>
      </c>
      <c r="Z427" s="178" t="s">
        <v>2583</v>
      </c>
      <c r="AA427" s="178" t="str">
        <f t="shared" si="338"/>
        <v xml:space="preserve"> </v>
      </c>
      <c r="AB427" s="176">
        <f t="shared" si="339"/>
        <v>0</v>
      </c>
      <c r="AC427" s="178" t="str">
        <f t="shared" si="340"/>
        <v xml:space="preserve"> </v>
      </c>
      <c r="AD427" s="176">
        <f t="shared" si="341"/>
        <v>0</v>
      </c>
      <c r="AE427" s="178" t="str">
        <f t="shared" si="342"/>
        <v>X</v>
      </c>
      <c r="AF427" s="176">
        <f t="shared" si="343"/>
        <v>18.920000000000002</v>
      </c>
      <c r="AG427" s="178" t="str">
        <f t="shared" ref="AG427:AG453" si="363">IF(K427="X","","X")</f>
        <v>X</v>
      </c>
      <c r="AH427" s="176">
        <f t="shared" ref="AH427:AH453" si="364">IF(AG427="X",$D427-H427,0)</f>
        <v>20.8</v>
      </c>
    </row>
    <row r="428" spans="2:34" ht="16.5" outlineLevel="1" x14ac:dyDescent="0.25">
      <c r="B428" s="175" t="s">
        <v>2669</v>
      </c>
      <c r="C428" s="176">
        <v>6.74</v>
      </c>
      <c r="D428" s="176">
        <v>12.1</v>
      </c>
      <c r="E428" s="194">
        <v>3</v>
      </c>
      <c r="F428" s="194">
        <v>0</v>
      </c>
      <c r="G428" s="194">
        <f t="shared" ref="G428:G453" si="365">E428-F428</f>
        <v>3</v>
      </c>
      <c r="H428" s="176"/>
      <c r="I428" s="178" t="str">
        <f t="shared" si="355"/>
        <v>X</v>
      </c>
      <c r="J428" s="176">
        <f t="shared" si="356"/>
        <v>36.299999999999997</v>
      </c>
      <c r="K428" s="178" t="str">
        <f t="shared" si="357"/>
        <v xml:space="preserve"> </v>
      </c>
      <c r="L428" s="176">
        <f t="shared" si="358"/>
        <v>0</v>
      </c>
      <c r="M428" s="178" t="str">
        <f t="shared" si="359"/>
        <v>X</v>
      </c>
      <c r="N428" s="177">
        <f t="shared" si="360"/>
        <v>36.299999999999997</v>
      </c>
      <c r="O428" s="178" t="str">
        <f t="shared" si="361"/>
        <v xml:space="preserve"> </v>
      </c>
      <c r="P428" s="176">
        <f t="shared" si="362"/>
        <v>0</v>
      </c>
      <c r="Q428" s="178" t="s">
        <v>0</v>
      </c>
      <c r="R428" s="176"/>
      <c r="S428" s="178" t="s">
        <v>2578</v>
      </c>
      <c r="T428" s="178" t="str">
        <f t="shared" si="335"/>
        <v>X</v>
      </c>
      <c r="U428" s="176">
        <f t="shared" ref="U428:U453" si="366">IF(T428="X",$N428,0)</f>
        <v>36.299999999999997</v>
      </c>
      <c r="V428" s="178" t="str">
        <f t="shared" si="336"/>
        <v xml:space="preserve"> </v>
      </c>
      <c r="W428" s="176">
        <f t="shared" ref="W428:W453" si="367">IF(V428="X",$N428,0)</f>
        <v>0</v>
      </c>
      <c r="X428" s="178" t="str">
        <f t="shared" si="337"/>
        <v xml:space="preserve"> </v>
      </c>
      <c r="Y428" s="176">
        <f t="shared" ref="Y428:Y453" si="368">IF(X428="X",$N428,0)</f>
        <v>0</v>
      </c>
      <c r="Z428" s="178" t="s">
        <v>2581</v>
      </c>
      <c r="AA428" s="178" t="str">
        <f t="shared" si="338"/>
        <v>X</v>
      </c>
      <c r="AB428" s="176">
        <f t="shared" si="339"/>
        <v>6.74</v>
      </c>
      <c r="AC428" s="178" t="str">
        <f t="shared" si="340"/>
        <v xml:space="preserve"> </v>
      </c>
      <c r="AD428" s="176">
        <f t="shared" si="341"/>
        <v>0</v>
      </c>
      <c r="AE428" s="178" t="str">
        <f t="shared" si="342"/>
        <v xml:space="preserve"> </v>
      </c>
      <c r="AF428" s="176">
        <f t="shared" si="343"/>
        <v>0</v>
      </c>
      <c r="AG428" s="178" t="str">
        <f t="shared" si="363"/>
        <v>X</v>
      </c>
      <c r="AH428" s="176">
        <f t="shared" si="364"/>
        <v>12.1</v>
      </c>
    </row>
    <row r="429" spans="2:34" ht="16.5" outlineLevel="1" x14ac:dyDescent="0.25">
      <c r="B429" s="175" t="s">
        <v>2666</v>
      </c>
      <c r="C429" s="176">
        <v>4.53</v>
      </c>
      <c r="D429" s="176">
        <v>8.76</v>
      </c>
      <c r="E429" s="194">
        <v>3</v>
      </c>
      <c r="F429" s="194">
        <v>2.1</v>
      </c>
      <c r="G429" s="194">
        <f t="shared" si="365"/>
        <v>0.89999999999999991</v>
      </c>
      <c r="H429" s="176"/>
      <c r="I429" s="178" t="str">
        <f t="shared" si="355"/>
        <v>X</v>
      </c>
      <c r="J429" s="176">
        <f t="shared" si="356"/>
        <v>26.28</v>
      </c>
      <c r="K429" s="178" t="str">
        <f t="shared" si="357"/>
        <v>X</v>
      </c>
      <c r="L429" s="176">
        <f t="shared" si="358"/>
        <v>18.396000000000001</v>
      </c>
      <c r="M429" s="178" t="str">
        <f t="shared" si="359"/>
        <v>X</v>
      </c>
      <c r="N429" s="177">
        <f t="shared" si="360"/>
        <v>7.8840000000000003</v>
      </c>
      <c r="O429" s="178" t="str">
        <f t="shared" si="361"/>
        <v>X</v>
      </c>
      <c r="P429" s="176">
        <f t="shared" si="362"/>
        <v>18.396000000000001</v>
      </c>
      <c r="Q429" s="178" t="s">
        <v>0</v>
      </c>
      <c r="R429" s="176"/>
      <c r="S429" s="178" t="s">
        <v>2578</v>
      </c>
      <c r="T429" s="178" t="str">
        <f t="shared" si="335"/>
        <v>X</v>
      </c>
      <c r="U429" s="176">
        <f t="shared" si="366"/>
        <v>7.8840000000000003</v>
      </c>
      <c r="V429" s="178" t="str">
        <f t="shared" si="336"/>
        <v xml:space="preserve"> </v>
      </c>
      <c r="W429" s="176">
        <f t="shared" si="367"/>
        <v>0</v>
      </c>
      <c r="X429" s="178" t="str">
        <f t="shared" si="337"/>
        <v xml:space="preserve"> </v>
      </c>
      <c r="Y429" s="176">
        <f t="shared" si="368"/>
        <v>0</v>
      </c>
      <c r="Z429" s="178" t="s">
        <v>2581</v>
      </c>
      <c r="AA429" s="178" t="str">
        <f t="shared" si="338"/>
        <v>X</v>
      </c>
      <c r="AB429" s="176">
        <f t="shared" si="339"/>
        <v>4.53</v>
      </c>
      <c r="AC429" s="178" t="str">
        <f t="shared" si="340"/>
        <v xml:space="preserve"> </v>
      </c>
      <c r="AD429" s="176">
        <f t="shared" si="341"/>
        <v>0</v>
      </c>
      <c r="AE429" s="178" t="str">
        <f t="shared" si="342"/>
        <v xml:space="preserve"> </v>
      </c>
      <c r="AF429" s="176">
        <f t="shared" si="343"/>
        <v>0</v>
      </c>
      <c r="AG429" s="178" t="str">
        <f t="shared" si="363"/>
        <v/>
      </c>
      <c r="AH429" s="176">
        <f t="shared" si="364"/>
        <v>0</v>
      </c>
    </row>
    <row r="430" spans="2:34" ht="16.5" outlineLevel="1" x14ac:dyDescent="0.25">
      <c r="B430" s="175" t="s">
        <v>2591</v>
      </c>
      <c r="C430" s="176">
        <v>3.14</v>
      </c>
      <c r="D430" s="176">
        <v>7.1</v>
      </c>
      <c r="E430" s="194">
        <v>3</v>
      </c>
      <c r="F430" s="194">
        <v>2.1</v>
      </c>
      <c r="G430" s="194">
        <f t="shared" si="365"/>
        <v>0.89999999999999991</v>
      </c>
      <c r="H430" s="176"/>
      <c r="I430" s="178" t="str">
        <f t="shared" si="355"/>
        <v>X</v>
      </c>
      <c r="J430" s="176">
        <f t="shared" si="356"/>
        <v>21.299999999999997</v>
      </c>
      <c r="K430" s="178" t="str">
        <f t="shared" si="357"/>
        <v>X</v>
      </c>
      <c r="L430" s="176">
        <f t="shared" si="358"/>
        <v>14.91</v>
      </c>
      <c r="M430" s="178" t="str">
        <f t="shared" si="359"/>
        <v>X</v>
      </c>
      <c r="N430" s="177">
        <f t="shared" si="360"/>
        <v>6.389999999999997</v>
      </c>
      <c r="O430" s="178" t="str">
        <f t="shared" si="361"/>
        <v>X</v>
      </c>
      <c r="P430" s="176">
        <f t="shared" si="362"/>
        <v>14.91</v>
      </c>
      <c r="Q430" s="178" t="s">
        <v>0</v>
      </c>
      <c r="R430" s="176"/>
      <c r="S430" s="178" t="s">
        <v>2578</v>
      </c>
      <c r="T430" s="178" t="str">
        <f t="shared" si="335"/>
        <v>X</v>
      </c>
      <c r="U430" s="176">
        <f t="shared" si="366"/>
        <v>6.389999999999997</v>
      </c>
      <c r="V430" s="178" t="str">
        <f t="shared" si="336"/>
        <v xml:space="preserve"> </v>
      </c>
      <c r="W430" s="176">
        <f t="shared" si="367"/>
        <v>0</v>
      </c>
      <c r="X430" s="178" t="str">
        <f t="shared" si="337"/>
        <v xml:space="preserve"> </v>
      </c>
      <c r="Y430" s="176">
        <f t="shared" si="368"/>
        <v>0</v>
      </c>
      <c r="Z430" s="178" t="s">
        <v>2581</v>
      </c>
      <c r="AA430" s="178" t="str">
        <f t="shared" si="338"/>
        <v>X</v>
      </c>
      <c r="AB430" s="176">
        <f t="shared" si="339"/>
        <v>3.14</v>
      </c>
      <c r="AC430" s="178" t="str">
        <f t="shared" si="340"/>
        <v xml:space="preserve"> </v>
      </c>
      <c r="AD430" s="176">
        <f t="shared" si="341"/>
        <v>0</v>
      </c>
      <c r="AE430" s="178" t="str">
        <f t="shared" si="342"/>
        <v xml:space="preserve"> </v>
      </c>
      <c r="AF430" s="176">
        <f t="shared" si="343"/>
        <v>0</v>
      </c>
      <c r="AG430" s="178" t="str">
        <f t="shared" si="363"/>
        <v/>
      </c>
      <c r="AH430" s="176">
        <f t="shared" si="364"/>
        <v>0</v>
      </c>
    </row>
    <row r="431" spans="2:34" ht="16.5" outlineLevel="1" x14ac:dyDescent="0.25">
      <c r="B431" s="175" t="s">
        <v>2730</v>
      </c>
      <c r="C431" s="176">
        <v>13.26</v>
      </c>
      <c r="D431" s="176">
        <v>15.01</v>
      </c>
      <c r="E431" s="194">
        <v>3</v>
      </c>
      <c r="F431" s="194">
        <v>0</v>
      </c>
      <c r="G431" s="194">
        <f t="shared" si="365"/>
        <v>3</v>
      </c>
      <c r="H431" s="176"/>
      <c r="I431" s="178" t="str">
        <f t="shared" si="355"/>
        <v>X</v>
      </c>
      <c r="J431" s="176">
        <f t="shared" si="356"/>
        <v>45.03</v>
      </c>
      <c r="K431" s="178" t="str">
        <f t="shared" si="357"/>
        <v xml:space="preserve"> </v>
      </c>
      <c r="L431" s="176">
        <f t="shared" si="358"/>
        <v>0</v>
      </c>
      <c r="M431" s="178" t="str">
        <f t="shared" si="359"/>
        <v>X</v>
      </c>
      <c r="N431" s="177">
        <f t="shared" si="360"/>
        <v>45.03</v>
      </c>
      <c r="O431" s="178" t="str">
        <f t="shared" si="361"/>
        <v xml:space="preserve"> </v>
      </c>
      <c r="P431" s="176">
        <v>1</v>
      </c>
      <c r="Q431" s="178" t="s">
        <v>0</v>
      </c>
      <c r="R431" s="176"/>
      <c r="S431" s="178" t="s">
        <v>2578</v>
      </c>
      <c r="T431" s="178" t="str">
        <f t="shared" si="335"/>
        <v>X</v>
      </c>
      <c r="U431" s="176">
        <f t="shared" si="366"/>
        <v>45.03</v>
      </c>
      <c r="V431" s="178" t="str">
        <f t="shared" si="336"/>
        <v xml:space="preserve"> </v>
      </c>
      <c r="W431" s="176">
        <f t="shared" si="367"/>
        <v>0</v>
      </c>
      <c r="X431" s="178" t="str">
        <f t="shared" si="337"/>
        <v xml:space="preserve"> </v>
      </c>
      <c r="Y431" s="176">
        <f t="shared" si="368"/>
        <v>0</v>
      </c>
      <c r="Z431" s="178" t="s">
        <v>2582</v>
      </c>
      <c r="AA431" s="178" t="str">
        <f t="shared" si="338"/>
        <v xml:space="preserve"> </v>
      </c>
      <c r="AB431" s="176">
        <f t="shared" si="339"/>
        <v>0</v>
      </c>
      <c r="AC431" s="178" t="str">
        <f t="shared" si="340"/>
        <v>X</v>
      </c>
      <c r="AD431" s="176">
        <f t="shared" si="341"/>
        <v>13.26</v>
      </c>
      <c r="AE431" s="178" t="str">
        <f t="shared" si="342"/>
        <v xml:space="preserve"> </v>
      </c>
      <c r="AF431" s="176">
        <f t="shared" si="343"/>
        <v>0</v>
      </c>
      <c r="AG431" s="178" t="str">
        <f t="shared" si="363"/>
        <v>X</v>
      </c>
      <c r="AH431" s="176">
        <f t="shared" si="364"/>
        <v>15.01</v>
      </c>
    </row>
    <row r="432" spans="2:34" ht="16.5" outlineLevel="1" x14ac:dyDescent="0.25">
      <c r="B432" s="175" t="s">
        <v>2749</v>
      </c>
      <c r="C432" s="176">
        <v>6.68</v>
      </c>
      <c r="D432" s="176">
        <v>10.48</v>
      </c>
      <c r="E432" s="194">
        <v>3</v>
      </c>
      <c r="F432" s="194">
        <v>0</v>
      </c>
      <c r="G432" s="194">
        <f t="shared" si="365"/>
        <v>3</v>
      </c>
      <c r="H432" s="176"/>
      <c r="I432" s="178" t="str">
        <f t="shared" si="355"/>
        <v>X</v>
      </c>
      <c r="J432" s="176">
        <f t="shared" si="356"/>
        <v>31.44</v>
      </c>
      <c r="K432" s="178" t="str">
        <f t="shared" si="357"/>
        <v xml:space="preserve"> </v>
      </c>
      <c r="L432" s="176">
        <f t="shared" si="358"/>
        <v>0</v>
      </c>
      <c r="M432" s="178" t="str">
        <f t="shared" si="359"/>
        <v>X</v>
      </c>
      <c r="N432" s="177">
        <f t="shared" si="360"/>
        <v>31.44</v>
      </c>
      <c r="O432" s="178" t="str">
        <f t="shared" si="361"/>
        <v xml:space="preserve"> </v>
      </c>
      <c r="P432" s="176">
        <f t="shared" si="362"/>
        <v>0</v>
      </c>
      <c r="Q432" s="178" t="s">
        <v>0</v>
      </c>
      <c r="R432" s="176"/>
      <c r="S432" s="178" t="s">
        <v>2578</v>
      </c>
      <c r="T432" s="178" t="str">
        <f t="shared" si="335"/>
        <v>X</v>
      </c>
      <c r="U432" s="176">
        <f t="shared" si="366"/>
        <v>31.44</v>
      </c>
      <c r="V432" s="178" t="str">
        <f t="shared" si="336"/>
        <v xml:space="preserve"> </v>
      </c>
      <c r="W432" s="176">
        <f t="shared" si="367"/>
        <v>0</v>
      </c>
      <c r="X432" s="178" t="str">
        <f t="shared" si="337"/>
        <v xml:space="preserve"> </v>
      </c>
      <c r="Y432" s="176">
        <f t="shared" si="368"/>
        <v>0</v>
      </c>
      <c r="Z432" s="178" t="s">
        <v>2581</v>
      </c>
      <c r="AA432" s="178" t="str">
        <f t="shared" si="338"/>
        <v>X</v>
      </c>
      <c r="AB432" s="176">
        <f t="shared" si="339"/>
        <v>6.68</v>
      </c>
      <c r="AC432" s="178" t="str">
        <f t="shared" si="340"/>
        <v xml:space="preserve"> </v>
      </c>
      <c r="AD432" s="176">
        <f t="shared" si="341"/>
        <v>0</v>
      </c>
      <c r="AE432" s="178" t="str">
        <f t="shared" si="342"/>
        <v xml:space="preserve"> </v>
      </c>
      <c r="AF432" s="176">
        <f t="shared" si="343"/>
        <v>0</v>
      </c>
      <c r="AG432" s="178" t="str">
        <f t="shared" si="363"/>
        <v>X</v>
      </c>
      <c r="AH432" s="176">
        <f t="shared" si="364"/>
        <v>10.48</v>
      </c>
    </row>
    <row r="433" spans="2:34" ht="16.5" outlineLevel="1" x14ac:dyDescent="0.25">
      <c r="B433" s="175" t="s">
        <v>2750</v>
      </c>
      <c r="C433" s="176">
        <v>6.73</v>
      </c>
      <c r="D433" s="176">
        <v>10.48</v>
      </c>
      <c r="E433" s="194">
        <v>3</v>
      </c>
      <c r="F433" s="194">
        <v>0</v>
      </c>
      <c r="G433" s="194">
        <f t="shared" si="365"/>
        <v>3</v>
      </c>
      <c r="H433" s="176"/>
      <c r="I433" s="178" t="str">
        <f t="shared" si="355"/>
        <v>X</v>
      </c>
      <c r="J433" s="176">
        <f t="shared" si="356"/>
        <v>31.44</v>
      </c>
      <c r="K433" s="178" t="str">
        <f t="shared" si="357"/>
        <v xml:space="preserve"> </v>
      </c>
      <c r="L433" s="176">
        <f t="shared" si="358"/>
        <v>0</v>
      </c>
      <c r="M433" s="178" t="str">
        <f t="shared" si="359"/>
        <v>X</v>
      </c>
      <c r="N433" s="177">
        <f t="shared" si="360"/>
        <v>31.44</v>
      </c>
      <c r="O433" s="178" t="str">
        <f t="shared" si="361"/>
        <v xml:space="preserve"> </v>
      </c>
      <c r="P433" s="176">
        <f t="shared" si="362"/>
        <v>0</v>
      </c>
      <c r="Q433" s="178" t="s">
        <v>0</v>
      </c>
      <c r="R433" s="176"/>
      <c r="S433" s="178" t="s">
        <v>2578</v>
      </c>
      <c r="T433" s="178" t="str">
        <f t="shared" si="335"/>
        <v>X</v>
      </c>
      <c r="U433" s="176">
        <f t="shared" si="366"/>
        <v>31.44</v>
      </c>
      <c r="V433" s="178" t="str">
        <f t="shared" si="336"/>
        <v xml:space="preserve"> </v>
      </c>
      <c r="W433" s="176">
        <f t="shared" si="367"/>
        <v>0</v>
      </c>
      <c r="X433" s="178" t="str">
        <f t="shared" si="337"/>
        <v xml:space="preserve"> </v>
      </c>
      <c r="Y433" s="176">
        <f t="shared" si="368"/>
        <v>0</v>
      </c>
      <c r="Z433" s="178" t="s">
        <v>2581</v>
      </c>
      <c r="AA433" s="178" t="str">
        <f t="shared" si="338"/>
        <v>X</v>
      </c>
      <c r="AB433" s="176">
        <f t="shared" si="339"/>
        <v>6.73</v>
      </c>
      <c r="AC433" s="178" t="str">
        <f t="shared" si="340"/>
        <v xml:space="preserve"> </v>
      </c>
      <c r="AD433" s="176">
        <f t="shared" si="341"/>
        <v>0</v>
      </c>
      <c r="AE433" s="178" t="str">
        <f t="shared" si="342"/>
        <v xml:space="preserve"> </v>
      </c>
      <c r="AF433" s="176">
        <f t="shared" si="343"/>
        <v>0</v>
      </c>
      <c r="AG433" s="178" t="str">
        <f t="shared" si="363"/>
        <v>X</v>
      </c>
      <c r="AH433" s="176">
        <f t="shared" si="364"/>
        <v>10.48</v>
      </c>
    </row>
    <row r="434" spans="2:34" ht="16.5" outlineLevel="1" x14ac:dyDescent="0.25">
      <c r="B434" s="175" t="s">
        <v>2826</v>
      </c>
      <c r="C434" s="176">
        <v>12.84</v>
      </c>
      <c r="D434" s="176">
        <v>17.399999999999999</v>
      </c>
      <c r="E434" s="194">
        <v>3</v>
      </c>
      <c r="F434" s="194">
        <v>2.1</v>
      </c>
      <c r="G434" s="194">
        <f t="shared" si="365"/>
        <v>0.89999999999999991</v>
      </c>
      <c r="H434" s="176"/>
      <c r="I434" s="178" t="str">
        <f t="shared" si="355"/>
        <v>X</v>
      </c>
      <c r="J434" s="176">
        <f t="shared" si="356"/>
        <v>52.199999999999996</v>
      </c>
      <c r="K434" s="178" t="str">
        <f t="shared" si="357"/>
        <v>X</v>
      </c>
      <c r="L434" s="176">
        <f t="shared" si="358"/>
        <v>36.54</v>
      </c>
      <c r="M434" s="178" t="str">
        <f t="shared" si="359"/>
        <v>X</v>
      </c>
      <c r="N434" s="177">
        <f t="shared" si="360"/>
        <v>15.659999999999997</v>
      </c>
      <c r="O434" s="178" t="str">
        <f t="shared" si="361"/>
        <v>X</v>
      </c>
      <c r="P434" s="176">
        <f t="shared" si="362"/>
        <v>36.54</v>
      </c>
      <c r="Q434" s="178" t="s">
        <v>0</v>
      </c>
      <c r="R434" s="176"/>
      <c r="S434" s="178" t="s">
        <v>2578</v>
      </c>
      <c r="T434" s="178" t="str">
        <f t="shared" si="335"/>
        <v>X</v>
      </c>
      <c r="U434" s="176">
        <f t="shared" si="366"/>
        <v>15.659999999999997</v>
      </c>
      <c r="V434" s="178" t="str">
        <f t="shared" si="336"/>
        <v xml:space="preserve"> </v>
      </c>
      <c r="W434" s="176">
        <f t="shared" si="367"/>
        <v>0</v>
      </c>
      <c r="X434" s="178" t="str">
        <f t="shared" si="337"/>
        <v xml:space="preserve"> </v>
      </c>
      <c r="Y434" s="176">
        <f t="shared" si="368"/>
        <v>0</v>
      </c>
      <c r="Z434" s="178" t="s">
        <v>2581</v>
      </c>
      <c r="AA434" s="178" t="str">
        <f t="shared" si="338"/>
        <v>X</v>
      </c>
      <c r="AB434" s="176">
        <f t="shared" si="339"/>
        <v>12.84</v>
      </c>
      <c r="AC434" s="178" t="str">
        <f t="shared" si="340"/>
        <v xml:space="preserve"> </v>
      </c>
      <c r="AD434" s="176">
        <f t="shared" si="341"/>
        <v>0</v>
      </c>
      <c r="AE434" s="178" t="str">
        <f t="shared" si="342"/>
        <v xml:space="preserve"> </v>
      </c>
      <c r="AF434" s="176">
        <f t="shared" si="343"/>
        <v>0</v>
      </c>
      <c r="AG434" s="178" t="str">
        <f t="shared" si="363"/>
        <v/>
      </c>
      <c r="AH434" s="176">
        <f t="shared" si="364"/>
        <v>0</v>
      </c>
    </row>
    <row r="435" spans="2:34" ht="16.5" outlineLevel="1" x14ac:dyDescent="0.25">
      <c r="B435" s="175" t="s">
        <v>2827</v>
      </c>
      <c r="C435" s="176">
        <v>2.1</v>
      </c>
      <c r="D435" s="176">
        <v>6.35</v>
      </c>
      <c r="E435" s="194">
        <v>3</v>
      </c>
      <c r="F435" s="194">
        <v>2.1</v>
      </c>
      <c r="G435" s="194">
        <f t="shared" si="365"/>
        <v>0.89999999999999991</v>
      </c>
      <c r="H435" s="176"/>
      <c r="I435" s="178" t="str">
        <f t="shared" si="355"/>
        <v>X</v>
      </c>
      <c r="J435" s="176">
        <f t="shared" si="356"/>
        <v>19.049999999999997</v>
      </c>
      <c r="K435" s="178" t="str">
        <f t="shared" si="357"/>
        <v>X</v>
      </c>
      <c r="L435" s="176">
        <f t="shared" si="358"/>
        <v>13.334999999999999</v>
      </c>
      <c r="M435" s="178" t="str">
        <f t="shared" si="359"/>
        <v>X</v>
      </c>
      <c r="N435" s="177">
        <f t="shared" si="360"/>
        <v>5.7149999999999981</v>
      </c>
      <c r="O435" s="178" t="str">
        <f t="shared" si="361"/>
        <v>X</v>
      </c>
      <c r="P435" s="176">
        <f t="shared" si="362"/>
        <v>13.334999999999999</v>
      </c>
      <c r="Q435" s="178" t="s">
        <v>0</v>
      </c>
      <c r="R435" s="176"/>
      <c r="S435" s="178" t="s">
        <v>2578</v>
      </c>
      <c r="T435" s="178" t="str">
        <f t="shared" si="335"/>
        <v>X</v>
      </c>
      <c r="U435" s="176">
        <f t="shared" si="366"/>
        <v>5.7149999999999981</v>
      </c>
      <c r="V435" s="178" t="str">
        <f t="shared" si="336"/>
        <v xml:space="preserve"> </v>
      </c>
      <c r="W435" s="176">
        <f t="shared" si="367"/>
        <v>0</v>
      </c>
      <c r="X435" s="178" t="str">
        <f t="shared" si="337"/>
        <v xml:space="preserve"> </v>
      </c>
      <c r="Y435" s="176">
        <f t="shared" si="368"/>
        <v>0</v>
      </c>
      <c r="Z435" s="178" t="s">
        <v>2581</v>
      </c>
      <c r="AA435" s="178" t="str">
        <f t="shared" si="338"/>
        <v>X</v>
      </c>
      <c r="AB435" s="176">
        <f t="shared" si="339"/>
        <v>2.1</v>
      </c>
      <c r="AC435" s="178" t="str">
        <f t="shared" si="340"/>
        <v xml:space="preserve"> </v>
      </c>
      <c r="AD435" s="176">
        <f t="shared" si="341"/>
        <v>0</v>
      </c>
      <c r="AE435" s="178" t="str">
        <f t="shared" si="342"/>
        <v xml:space="preserve"> </v>
      </c>
      <c r="AF435" s="176">
        <f t="shared" si="343"/>
        <v>0</v>
      </c>
      <c r="AG435" s="178" t="str">
        <f t="shared" si="363"/>
        <v/>
      </c>
      <c r="AH435" s="176">
        <f t="shared" si="364"/>
        <v>0</v>
      </c>
    </row>
    <row r="436" spans="2:34" ht="16.5" outlineLevel="1" x14ac:dyDescent="0.25">
      <c r="B436" s="175" t="s">
        <v>2828</v>
      </c>
      <c r="C436" s="176">
        <v>2.5099999999999998</v>
      </c>
      <c r="D436" s="176">
        <v>6.35</v>
      </c>
      <c r="E436" s="194">
        <v>3</v>
      </c>
      <c r="F436" s="194">
        <v>2.1</v>
      </c>
      <c r="G436" s="194">
        <f t="shared" si="365"/>
        <v>0.89999999999999991</v>
      </c>
      <c r="H436" s="176"/>
      <c r="I436" s="178" t="str">
        <f t="shared" si="355"/>
        <v>X</v>
      </c>
      <c r="J436" s="176">
        <f t="shared" si="356"/>
        <v>19.049999999999997</v>
      </c>
      <c r="K436" s="178" t="str">
        <f t="shared" si="357"/>
        <v>X</v>
      </c>
      <c r="L436" s="176">
        <f t="shared" si="358"/>
        <v>13.334999999999999</v>
      </c>
      <c r="M436" s="178" t="str">
        <f t="shared" si="359"/>
        <v>X</v>
      </c>
      <c r="N436" s="177">
        <f t="shared" si="360"/>
        <v>5.7149999999999981</v>
      </c>
      <c r="O436" s="178" t="str">
        <f t="shared" si="361"/>
        <v>X</v>
      </c>
      <c r="P436" s="176">
        <f t="shared" si="362"/>
        <v>13.334999999999999</v>
      </c>
      <c r="Q436" s="178" t="s">
        <v>0</v>
      </c>
      <c r="R436" s="176"/>
      <c r="S436" s="178" t="s">
        <v>2578</v>
      </c>
      <c r="T436" s="178" t="str">
        <f t="shared" si="335"/>
        <v>X</v>
      </c>
      <c r="U436" s="176">
        <f t="shared" si="366"/>
        <v>5.7149999999999981</v>
      </c>
      <c r="V436" s="178" t="str">
        <f t="shared" si="336"/>
        <v xml:space="preserve"> </v>
      </c>
      <c r="W436" s="176">
        <f t="shared" si="367"/>
        <v>0</v>
      </c>
      <c r="X436" s="178" t="str">
        <f t="shared" si="337"/>
        <v xml:space="preserve"> </v>
      </c>
      <c r="Y436" s="176">
        <f t="shared" si="368"/>
        <v>0</v>
      </c>
      <c r="Z436" s="178" t="s">
        <v>2581</v>
      </c>
      <c r="AA436" s="178" t="str">
        <f t="shared" si="338"/>
        <v>X</v>
      </c>
      <c r="AB436" s="176">
        <f t="shared" si="339"/>
        <v>2.5099999999999998</v>
      </c>
      <c r="AC436" s="178" t="str">
        <f t="shared" si="340"/>
        <v xml:space="preserve"> </v>
      </c>
      <c r="AD436" s="176">
        <f t="shared" si="341"/>
        <v>0</v>
      </c>
      <c r="AE436" s="178" t="str">
        <f t="shared" si="342"/>
        <v xml:space="preserve"> </v>
      </c>
      <c r="AF436" s="176">
        <f t="shared" si="343"/>
        <v>0</v>
      </c>
      <c r="AG436" s="178" t="str">
        <f t="shared" si="363"/>
        <v/>
      </c>
      <c r="AH436" s="176">
        <f t="shared" si="364"/>
        <v>0</v>
      </c>
    </row>
    <row r="437" spans="2:34" ht="16.5" outlineLevel="1" x14ac:dyDescent="0.25">
      <c r="B437" s="175" t="s">
        <v>2675</v>
      </c>
      <c r="C437" s="176">
        <v>25.26</v>
      </c>
      <c r="D437" s="176">
        <v>21.06</v>
      </c>
      <c r="E437" s="194">
        <v>3</v>
      </c>
      <c r="F437" s="194">
        <v>0</v>
      </c>
      <c r="G437" s="194">
        <f t="shared" si="365"/>
        <v>3</v>
      </c>
      <c r="H437" s="176"/>
      <c r="I437" s="178" t="str">
        <f t="shared" si="355"/>
        <v>X</v>
      </c>
      <c r="J437" s="176">
        <f t="shared" si="356"/>
        <v>63.179999999999993</v>
      </c>
      <c r="K437" s="178" t="str">
        <f t="shared" si="357"/>
        <v xml:space="preserve"> </v>
      </c>
      <c r="L437" s="176">
        <f t="shared" si="358"/>
        <v>0</v>
      </c>
      <c r="M437" s="178" t="str">
        <f t="shared" si="359"/>
        <v>X</v>
      </c>
      <c r="N437" s="177">
        <f t="shared" si="360"/>
        <v>63.179999999999993</v>
      </c>
      <c r="O437" s="178" t="str">
        <f t="shared" si="361"/>
        <v xml:space="preserve"> </v>
      </c>
      <c r="P437" s="176">
        <v>1</v>
      </c>
      <c r="Q437" s="178" t="s">
        <v>0</v>
      </c>
      <c r="R437" s="176"/>
      <c r="S437" s="178" t="s">
        <v>2578</v>
      </c>
      <c r="T437" s="178" t="str">
        <f t="shared" si="335"/>
        <v>X</v>
      </c>
      <c r="U437" s="176">
        <f t="shared" si="366"/>
        <v>63.179999999999993</v>
      </c>
      <c r="V437" s="178" t="str">
        <f t="shared" si="336"/>
        <v xml:space="preserve"> </v>
      </c>
      <c r="W437" s="176">
        <f t="shared" si="367"/>
        <v>0</v>
      </c>
      <c r="X437" s="178" t="str">
        <f t="shared" si="337"/>
        <v xml:space="preserve"> </v>
      </c>
      <c r="Y437" s="176">
        <f t="shared" si="368"/>
        <v>0</v>
      </c>
      <c r="Z437" s="178" t="s">
        <v>2581</v>
      </c>
      <c r="AA437" s="178" t="str">
        <f t="shared" si="338"/>
        <v>X</v>
      </c>
      <c r="AB437" s="176">
        <f t="shared" si="339"/>
        <v>25.26</v>
      </c>
      <c r="AC437" s="178" t="str">
        <f t="shared" si="340"/>
        <v xml:space="preserve"> </v>
      </c>
      <c r="AD437" s="176">
        <f t="shared" si="341"/>
        <v>0</v>
      </c>
      <c r="AE437" s="178" t="str">
        <f t="shared" si="342"/>
        <v xml:space="preserve"> </v>
      </c>
      <c r="AF437" s="176">
        <f t="shared" si="343"/>
        <v>0</v>
      </c>
      <c r="AG437" s="178" t="str">
        <f t="shared" si="363"/>
        <v>X</v>
      </c>
      <c r="AH437" s="176">
        <f t="shared" si="364"/>
        <v>21.06</v>
      </c>
    </row>
    <row r="438" spans="2:34" ht="16.5" outlineLevel="1" x14ac:dyDescent="0.25">
      <c r="B438" s="175" t="s">
        <v>2676</v>
      </c>
      <c r="C438" s="176">
        <v>5.17</v>
      </c>
      <c r="D438" s="176">
        <v>9.99</v>
      </c>
      <c r="E438" s="194">
        <v>3</v>
      </c>
      <c r="F438" s="194">
        <v>2.1</v>
      </c>
      <c r="G438" s="194">
        <f t="shared" si="365"/>
        <v>0.89999999999999991</v>
      </c>
      <c r="H438" s="176"/>
      <c r="I438" s="178" t="str">
        <f t="shared" si="355"/>
        <v>X</v>
      </c>
      <c r="J438" s="176">
        <f t="shared" si="356"/>
        <v>29.97</v>
      </c>
      <c r="K438" s="178" t="str">
        <f t="shared" si="357"/>
        <v>X</v>
      </c>
      <c r="L438" s="176">
        <f t="shared" si="358"/>
        <v>20.979000000000003</v>
      </c>
      <c r="M438" s="178" t="str">
        <f t="shared" si="359"/>
        <v>X</v>
      </c>
      <c r="N438" s="177">
        <f t="shared" si="360"/>
        <v>8.9909999999999961</v>
      </c>
      <c r="O438" s="178" t="str">
        <f t="shared" si="361"/>
        <v>X</v>
      </c>
      <c r="P438" s="176">
        <f t="shared" si="362"/>
        <v>20.979000000000003</v>
      </c>
      <c r="Q438" s="178" t="s">
        <v>0</v>
      </c>
      <c r="R438" s="176"/>
      <c r="S438" s="178" t="s">
        <v>2578</v>
      </c>
      <c r="T438" s="178" t="str">
        <f t="shared" si="335"/>
        <v>X</v>
      </c>
      <c r="U438" s="176">
        <f t="shared" si="366"/>
        <v>8.9909999999999961</v>
      </c>
      <c r="V438" s="178" t="str">
        <f t="shared" si="336"/>
        <v xml:space="preserve"> </v>
      </c>
      <c r="W438" s="176">
        <f t="shared" si="367"/>
        <v>0</v>
      </c>
      <c r="X438" s="178" t="str">
        <f t="shared" si="337"/>
        <v xml:space="preserve"> </v>
      </c>
      <c r="Y438" s="176">
        <f t="shared" si="368"/>
        <v>0</v>
      </c>
      <c r="Z438" s="178" t="s">
        <v>2581</v>
      </c>
      <c r="AA438" s="178" t="str">
        <f t="shared" si="338"/>
        <v>X</v>
      </c>
      <c r="AB438" s="176">
        <f t="shared" si="339"/>
        <v>5.17</v>
      </c>
      <c r="AC438" s="178" t="str">
        <f t="shared" si="340"/>
        <v xml:space="preserve"> </v>
      </c>
      <c r="AD438" s="176">
        <f t="shared" si="341"/>
        <v>0</v>
      </c>
      <c r="AE438" s="178" t="str">
        <f t="shared" si="342"/>
        <v xml:space="preserve"> </v>
      </c>
      <c r="AF438" s="176">
        <f t="shared" si="343"/>
        <v>0</v>
      </c>
      <c r="AG438" s="178" t="str">
        <f t="shared" si="363"/>
        <v/>
      </c>
      <c r="AH438" s="176">
        <f t="shared" si="364"/>
        <v>0</v>
      </c>
    </row>
    <row r="439" spans="2:34" ht="16.5" outlineLevel="1" x14ac:dyDescent="0.25">
      <c r="B439" s="175" t="s">
        <v>2679</v>
      </c>
      <c r="C439" s="176">
        <v>25.32</v>
      </c>
      <c r="D439" s="176">
        <v>21.08</v>
      </c>
      <c r="E439" s="194">
        <v>3</v>
      </c>
      <c r="F439" s="194">
        <v>0</v>
      </c>
      <c r="G439" s="194">
        <f t="shared" si="365"/>
        <v>3</v>
      </c>
      <c r="H439" s="176"/>
      <c r="I439" s="178" t="str">
        <f t="shared" si="355"/>
        <v>X</v>
      </c>
      <c r="J439" s="176">
        <f t="shared" si="356"/>
        <v>63.239999999999995</v>
      </c>
      <c r="K439" s="178" t="str">
        <f t="shared" si="357"/>
        <v xml:space="preserve"> </v>
      </c>
      <c r="L439" s="176">
        <f t="shared" si="358"/>
        <v>0</v>
      </c>
      <c r="M439" s="178" t="str">
        <f t="shared" si="359"/>
        <v>X</v>
      </c>
      <c r="N439" s="177">
        <f t="shared" si="360"/>
        <v>63.239999999999995</v>
      </c>
      <c r="O439" s="178" t="str">
        <f t="shared" si="361"/>
        <v xml:space="preserve"> </v>
      </c>
      <c r="P439" s="176">
        <v>1</v>
      </c>
      <c r="Q439" s="178" t="s">
        <v>0</v>
      </c>
      <c r="R439" s="176"/>
      <c r="S439" s="178" t="s">
        <v>2578</v>
      </c>
      <c r="T439" s="178" t="str">
        <f t="shared" si="335"/>
        <v>X</v>
      </c>
      <c r="U439" s="176">
        <f t="shared" si="366"/>
        <v>63.239999999999995</v>
      </c>
      <c r="V439" s="178" t="str">
        <f t="shared" si="336"/>
        <v xml:space="preserve"> </v>
      </c>
      <c r="W439" s="176">
        <f t="shared" si="367"/>
        <v>0</v>
      </c>
      <c r="X439" s="178" t="str">
        <f t="shared" si="337"/>
        <v xml:space="preserve"> </v>
      </c>
      <c r="Y439" s="176">
        <f t="shared" si="368"/>
        <v>0</v>
      </c>
      <c r="Z439" s="178" t="s">
        <v>2581</v>
      </c>
      <c r="AA439" s="178" t="str">
        <f t="shared" si="338"/>
        <v>X</v>
      </c>
      <c r="AB439" s="176">
        <f t="shared" si="339"/>
        <v>25.32</v>
      </c>
      <c r="AC439" s="178" t="str">
        <f t="shared" si="340"/>
        <v xml:space="preserve"> </v>
      </c>
      <c r="AD439" s="176">
        <f t="shared" si="341"/>
        <v>0</v>
      </c>
      <c r="AE439" s="178" t="str">
        <f t="shared" si="342"/>
        <v xml:space="preserve"> </v>
      </c>
      <c r="AF439" s="176">
        <f t="shared" si="343"/>
        <v>0</v>
      </c>
      <c r="AG439" s="178" t="str">
        <f t="shared" si="363"/>
        <v>X</v>
      </c>
      <c r="AH439" s="176">
        <f t="shared" si="364"/>
        <v>21.08</v>
      </c>
    </row>
    <row r="440" spans="2:34" ht="16.5" outlineLevel="1" x14ac:dyDescent="0.25">
      <c r="B440" s="175" t="s">
        <v>2680</v>
      </c>
      <c r="C440" s="176">
        <v>5.17</v>
      </c>
      <c r="D440" s="176">
        <v>9.99</v>
      </c>
      <c r="E440" s="194">
        <v>3</v>
      </c>
      <c r="F440" s="194">
        <v>2.1</v>
      </c>
      <c r="G440" s="194">
        <f t="shared" si="365"/>
        <v>0.89999999999999991</v>
      </c>
      <c r="H440" s="176"/>
      <c r="I440" s="178" t="str">
        <f t="shared" si="355"/>
        <v>X</v>
      </c>
      <c r="J440" s="176">
        <f t="shared" si="356"/>
        <v>29.97</v>
      </c>
      <c r="K440" s="178" t="str">
        <f t="shared" si="357"/>
        <v>X</v>
      </c>
      <c r="L440" s="176">
        <f t="shared" si="358"/>
        <v>20.979000000000003</v>
      </c>
      <c r="M440" s="178" t="str">
        <f t="shared" si="359"/>
        <v>X</v>
      </c>
      <c r="N440" s="177">
        <f t="shared" si="360"/>
        <v>8.9909999999999961</v>
      </c>
      <c r="O440" s="178" t="str">
        <f t="shared" si="361"/>
        <v>X</v>
      </c>
      <c r="P440" s="176">
        <f t="shared" si="362"/>
        <v>20.979000000000003</v>
      </c>
      <c r="Q440" s="178" t="s">
        <v>0</v>
      </c>
      <c r="R440" s="176"/>
      <c r="S440" s="178" t="s">
        <v>2578</v>
      </c>
      <c r="T440" s="178" t="str">
        <f t="shared" si="335"/>
        <v>X</v>
      </c>
      <c r="U440" s="176">
        <f t="shared" si="366"/>
        <v>8.9909999999999961</v>
      </c>
      <c r="V440" s="178" t="str">
        <f t="shared" si="336"/>
        <v xml:space="preserve"> </v>
      </c>
      <c r="W440" s="176">
        <f t="shared" si="367"/>
        <v>0</v>
      </c>
      <c r="X440" s="178" t="str">
        <f t="shared" si="337"/>
        <v xml:space="preserve"> </v>
      </c>
      <c r="Y440" s="176">
        <f t="shared" si="368"/>
        <v>0</v>
      </c>
      <c r="Z440" s="178" t="s">
        <v>2581</v>
      </c>
      <c r="AA440" s="178" t="str">
        <f t="shared" si="338"/>
        <v>X</v>
      </c>
      <c r="AB440" s="176">
        <f t="shared" si="339"/>
        <v>5.17</v>
      </c>
      <c r="AC440" s="178" t="str">
        <f t="shared" si="340"/>
        <v xml:space="preserve"> </v>
      </c>
      <c r="AD440" s="176">
        <f t="shared" si="341"/>
        <v>0</v>
      </c>
      <c r="AE440" s="178" t="str">
        <f t="shared" si="342"/>
        <v xml:space="preserve"> </v>
      </c>
      <c r="AF440" s="176">
        <f t="shared" si="343"/>
        <v>0</v>
      </c>
      <c r="AG440" s="178" t="str">
        <f t="shared" si="363"/>
        <v/>
      </c>
      <c r="AH440" s="176">
        <f t="shared" si="364"/>
        <v>0</v>
      </c>
    </row>
    <row r="441" spans="2:34" ht="16.5" outlineLevel="1" x14ac:dyDescent="0.25">
      <c r="B441" s="175" t="s">
        <v>2594</v>
      </c>
      <c r="C441" s="176">
        <v>77.36</v>
      </c>
      <c r="D441" s="176">
        <v>74.73</v>
      </c>
      <c r="E441" s="194">
        <v>3</v>
      </c>
      <c r="F441" s="194">
        <v>0</v>
      </c>
      <c r="G441" s="194">
        <f t="shared" si="365"/>
        <v>3</v>
      </c>
      <c r="H441" s="176"/>
      <c r="I441" s="178" t="str">
        <f t="shared" si="355"/>
        <v>X</v>
      </c>
      <c r="J441" s="176">
        <f t="shared" si="356"/>
        <v>224.19</v>
      </c>
      <c r="K441" s="178" t="str">
        <f t="shared" si="357"/>
        <v xml:space="preserve"> </v>
      </c>
      <c r="L441" s="176">
        <f t="shared" si="358"/>
        <v>0</v>
      </c>
      <c r="M441" s="178" t="str">
        <f t="shared" si="359"/>
        <v>X</v>
      </c>
      <c r="N441" s="177">
        <f t="shared" si="360"/>
        <v>224.19</v>
      </c>
      <c r="O441" s="178" t="str">
        <f t="shared" si="361"/>
        <v xml:space="preserve"> </v>
      </c>
      <c r="P441" s="176">
        <f t="shared" si="362"/>
        <v>0</v>
      </c>
      <c r="Q441" s="178" t="s">
        <v>0</v>
      </c>
      <c r="R441" s="176"/>
      <c r="S441" s="178" t="s">
        <v>2578</v>
      </c>
      <c r="T441" s="178" t="str">
        <f t="shared" si="335"/>
        <v>X</v>
      </c>
      <c r="U441" s="176">
        <f t="shared" si="366"/>
        <v>224.19</v>
      </c>
      <c r="V441" s="178" t="str">
        <f t="shared" si="336"/>
        <v xml:space="preserve"> </v>
      </c>
      <c r="W441" s="176">
        <f t="shared" si="367"/>
        <v>0</v>
      </c>
      <c r="X441" s="178" t="str">
        <f t="shared" si="337"/>
        <v xml:space="preserve"> </v>
      </c>
      <c r="Y441" s="176">
        <f t="shared" si="368"/>
        <v>0</v>
      </c>
      <c r="Z441" s="178" t="s">
        <v>2582</v>
      </c>
      <c r="AA441" s="178" t="str">
        <f t="shared" si="338"/>
        <v xml:space="preserve"> </v>
      </c>
      <c r="AB441" s="176">
        <f t="shared" si="339"/>
        <v>0</v>
      </c>
      <c r="AC441" s="178" t="str">
        <f t="shared" si="340"/>
        <v>X</v>
      </c>
      <c r="AD441" s="176">
        <f t="shared" si="341"/>
        <v>77.36</v>
      </c>
      <c r="AE441" s="178" t="str">
        <f t="shared" si="342"/>
        <v xml:space="preserve"> </v>
      </c>
      <c r="AF441" s="176">
        <f t="shared" si="343"/>
        <v>0</v>
      </c>
      <c r="AG441" s="178" t="str">
        <f t="shared" si="363"/>
        <v>X</v>
      </c>
      <c r="AH441" s="176">
        <f t="shared" si="364"/>
        <v>74.73</v>
      </c>
    </row>
    <row r="442" spans="2:34" ht="16.5" outlineLevel="1" x14ac:dyDescent="0.25">
      <c r="B442" s="175" t="s">
        <v>2829</v>
      </c>
      <c r="C442" s="176">
        <v>27.91</v>
      </c>
      <c r="D442" s="176">
        <v>22</v>
      </c>
      <c r="E442" s="194">
        <v>3</v>
      </c>
      <c r="F442" s="194">
        <v>0</v>
      </c>
      <c r="G442" s="194">
        <f t="shared" si="365"/>
        <v>3</v>
      </c>
      <c r="H442" s="176"/>
      <c r="I442" s="178" t="str">
        <f t="shared" si="355"/>
        <v>X</v>
      </c>
      <c r="J442" s="176">
        <f t="shared" si="356"/>
        <v>66</v>
      </c>
      <c r="K442" s="178" t="str">
        <f t="shared" si="357"/>
        <v xml:space="preserve"> </v>
      </c>
      <c r="L442" s="176">
        <f t="shared" si="358"/>
        <v>0</v>
      </c>
      <c r="M442" s="178" t="str">
        <f t="shared" si="359"/>
        <v>X</v>
      </c>
      <c r="N442" s="177">
        <f t="shared" si="360"/>
        <v>66</v>
      </c>
      <c r="O442" s="178" t="str">
        <f t="shared" si="361"/>
        <v xml:space="preserve"> </v>
      </c>
      <c r="P442" s="176">
        <v>1</v>
      </c>
      <c r="Q442" s="178" t="s">
        <v>0</v>
      </c>
      <c r="R442" s="176"/>
      <c r="S442" s="178" t="s">
        <v>2578</v>
      </c>
      <c r="T442" s="178" t="str">
        <f t="shared" si="335"/>
        <v>X</v>
      </c>
      <c r="U442" s="176">
        <f t="shared" si="366"/>
        <v>66</v>
      </c>
      <c r="V442" s="178" t="str">
        <f t="shared" si="336"/>
        <v xml:space="preserve"> </v>
      </c>
      <c r="W442" s="176">
        <f t="shared" si="367"/>
        <v>0</v>
      </c>
      <c r="X442" s="178" t="str">
        <f t="shared" si="337"/>
        <v xml:space="preserve"> </v>
      </c>
      <c r="Y442" s="176">
        <f t="shared" si="368"/>
        <v>0</v>
      </c>
      <c r="Z442" s="178" t="s">
        <v>2581</v>
      </c>
      <c r="AA442" s="178" t="str">
        <f t="shared" si="338"/>
        <v>X</v>
      </c>
      <c r="AB442" s="176">
        <f t="shared" si="339"/>
        <v>27.91</v>
      </c>
      <c r="AC442" s="178" t="str">
        <f t="shared" si="340"/>
        <v xml:space="preserve"> </v>
      </c>
      <c r="AD442" s="176">
        <f t="shared" si="341"/>
        <v>0</v>
      </c>
      <c r="AE442" s="178" t="str">
        <f t="shared" si="342"/>
        <v xml:space="preserve"> </v>
      </c>
      <c r="AF442" s="176">
        <f t="shared" si="343"/>
        <v>0</v>
      </c>
      <c r="AG442" s="178" t="str">
        <f t="shared" si="363"/>
        <v>X</v>
      </c>
      <c r="AH442" s="176">
        <f t="shared" si="364"/>
        <v>22</v>
      </c>
    </row>
    <row r="443" spans="2:34" ht="16.5" outlineLevel="1" x14ac:dyDescent="0.25">
      <c r="B443" s="175" t="s">
        <v>2830</v>
      </c>
      <c r="C443" s="176">
        <v>5.23</v>
      </c>
      <c r="D443" s="176">
        <v>10.06</v>
      </c>
      <c r="E443" s="194">
        <v>3</v>
      </c>
      <c r="F443" s="194">
        <v>2.1</v>
      </c>
      <c r="G443" s="194">
        <f t="shared" si="365"/>
        <v>0.89999999999999991</v>
      </c>
      <c r="H443" s="176"/>
      <c r="I443" s="178" t="str">
        <f t="shared" si="355"/>
        <v>X</v>
      </c>
      <c r="J443" s="176">
        <f t="shared" si="356"/>
        <v>30.18</v>
      </c>
      <c r="K443" s="178" t="str">
        <f t="shared" si="357"/>
        <v>X</v>
      </c>
      <c r="L443" s="176">
        <f t="shared" si="358"/>
        <v>21.126000000000001</v>
      </c>
      <c r="M443" s="178" t="str">
        <f t="shared" si="359"/>
        <v>X</v>
      </c>
      <c r="N443" s="177">
        <f t="shared" si="360"/>
        <v>9.0539999999999985</v>
      </c>
      <c r="O443" s="178" t="str">
        <f t="shared" si="361"/>
        <v>X</v>
      </c>
      <c r="P443" s="176">
        <f t="shared" si="362"/>
        <v>21.126000000000001</v>
      </c>
      <c r="Q443" s="178" t="s">
        <v>0</v>
      </c>
      <c r="R443" s="176"/>
      <c r="S443" s="178" t="s">
        <v>2578</v>
      </c>
      <c r="T443" s="178" t="str">
        <f t="shared" si="335"/>
        <v>X</v>
      </c>
      <c r="U443" s="176">
        <f t="shared" si="366"/>
        <v>9.0539999999999985</v>
      </c>
      <c r="V443" s="178" t="str">
        <f t="shared" si="336"/>
        <v xml:space="preserve"> </v>
      </c>
      <c r="W443" s="176">
        <f t="shared" si="367"/>
        <v>0</v>
      </c>
      <c r="X443" s="178" t="str">
        <f t="shared" si="337"/>
        <v xml:space="preserve"> </v>
      </c>
      <c r="Y443" s="176">
        <f t="shared" si="368"/>
        <v>0</v>
      </c>
      <c r="Z443" s="178" t="s">
        <v>2581</v>
      </c>
      <c r="AA443" s="178" t="str">
        <f t="shared" si="338"/>
        <v>X</v>
      </c>
      <c r="AB443" s="176">
        <f t="shared" si="339"/>
        <v>5.23</v>
      </c>
      <c r="AC443" s="178" t="str">
        <f t="shared" si="340"/>
        <v xml:space="preserve"> </v>
      </c>
      <c r="AD443" s="176">
        <f t="shared" si="341"/>
        <v>0</v>
      </c>
      <c r="AE443" s="178" t="str">
        <f t="shared" si="342"/>
        <v xml:space="preserve"> </v>
      </c>
      <c r="AF443" s="176">
        <f t="shared" si="343"/>
        <v>0</v>
      </c>
      <c r="AG443" s="178" t="str">
        <f t="shared" si="363"/>
        <v/>
      </c>
      <c r="AH443" s="176">
        <f t="shared" si="364"/>
        <v>0</v>
      </c>
    </row>
    <row r="444" spans="2:34" ht="16.5" outlineLevel="1" x14ac:dyDescent="0.25">
      <c r="B444" s="175" t="s">
        <v>2598</v>
      </c>
      <c r="C444" s="176">
        <v>2.83</v>
      </c>
      <c r="D444" s="176">
        <v>7.16</v>
      </c>
      <c r="E444" s="194">
        <v>3</v>
      </c>
      <c r="F444" s="194">
        <v>0</v>
      </c>
      <c r="G444" s="194">
        <f t="shared" si="365"/>
        <v>3</v>
      </c>
      <c r="H444" s="176"/>
      <c r="I444" s="178" t="str">
        <f t="shared" si="355"/>
        <v>X</v>
      </c>
      <c r="J444" s="176">
        <f t="shared" si="356"/>
        <v>21.48</v>
      </c>
      <c r="K444" s="178" t="str">
        <f t="shared" si="357"/>
        <v xml:space="preserve"> </v>
      </c>
      <c r="L444" s="176">
        <f t="shared" si="358"/>
        <v>0</v>
      </c>
      <c r="M444" s="178" t="str">
        <f t="shared" si="359"/>
        <v>X</v>
      </c>
      <c r="N444" s="177">
        <f t="shared" si="360"/>
        <v>21.48</v>
      </c>
      <c r="O444" s="178" t="str">
        <f t="shared" si="361"/>
        <v xml:space="preserve"> </v>
      </c>
      <c r="P444" s="176">
        <v>1</v>
      </c>
      <c r="Q444" s="178" t="s">
        <v>0</v>
      </c>
      <c r="R444" s="176"/>
      <c r="S444" s="178" t="s">
        <v>2578</v>
      </c>
      <c r="T444" s="178" t="str">
        <f t="shared" si="335"/>
        <v>X</v>
      </c>
      <c r="U444" s="176">
        <f t="shared" si="366"/>
        <v>21.48</v>
      </c>
      <c r="V444" s="178" t="str">
        <f t="shared" si="336"/>
        <v xml:space="preserve"> </v>
      </c>
      <c r="W444" s="176">
        <f t="shared" si="367"/>
        <v>0</v>
      </c>
      <c r="X444" s="178" t="str">
        <f t="shared" si="337"/>
        <v xml:space="preserve"> </v>
      </c>
      <c r="Y444" s="176">
        <f t="shared" si="368"/>
        <v>0</v>
      </c>
      <c r="Z444" s="178" t="s">
        <v>2581</v>
      </c>
      <c r="AA444" s="178" t="str">
        <f t="shared" si="338"/>
        <v>X</v>
      </c>
      <c r="AB444" s="176">
        <f t="shared" si="339"/>
        <v>2.83</v>
      </c>
      <c r="AC444" s="178" t="str">
        <f t="shared" si="340"/>
        <v xml:space="preserve"> </v>
      </c>
      <c r="AD444" s="176">
        <f t="shared" si="341"/>
        <v>0</v>
      </c>
      <c r="AE444" s="178" t="str">
        <f t="shared" si="342"/>
        <v xml:space="preserve"> </v>
      </c>
      <c r="AF444" s="176">
        <f t="shared" si="343"/>
        <v>0</v>
      </c>
      <c r="AG444" s="178" t="str">
        <f t="shared" si="363"/>
        <v>X</v>
      </c>
      <c r="AH444" s="176">
        <f t="shared" si="364"/>
        <v>7.16</v>
      </c>
    </row>
    <row r="445" spans="2:34" ht="16.5" outlineLevel="1" x14ac:dyDescent="0.25">
      <c r="B445" s="175" t="s">
        <v>2678</v>
      </c>
      <c r="C445" s="176">
        <v>5.77</v>
      </c>
      <c r="D445" s="176">
        <v>10.67</v>
      </c>
      <c r="E445" s="194">
        <v>3</v>
      </c>
      <c r="F445" s="194">
        <v>2.1</v>
      </c>
      <c r="G445" s="194">
        <f t="shared" si="365"/>
        <v>0.89999999999999991</v>
      </c>
      <c r="H445" s="176"/>
      <c r="I445" s="178" t="str">
        <f t="shared" si="355"/>
        <v>X</v>
      </c>
      <c r="J445" s="176">
        <f t="shared" si="356"/>
        <v>32.01</v>
      </c>
      <c r="K445" s="178" t="str">
        <f t="shared" si="357"/>
        <v>X</v>
      </c>
      <c r="L445" s="176">
        <f t="shared" si="358"/>
        <v>22.407</v>
      </c>
      <c r="M445" s="178" t="str">
        <f t="shared" si="359"/>
        <v>X</v>
      </c>
      <c r="N445" s="177">
        <f t="shared" si="360"/>
        <v>9.602999999999998</v>
      </c>
      <c r="O445" s="178" t="str">
        <f t="shared" si="361"/>
        <v>X</v>
      </c>
      <c r="P445" s="176">
        <f t="shared" si="362"/>
        <v>22.407</v>
      </c>
      <c r="Q445" s="178" t="s">
        <v>0</v>
      </c>
      <c r="R445" s="176"/>
      <c r="S445" s="178" t="s">
        <v>2578</v>
      </c>
      <c r="T445" s="178" t="str">
        <f t="shared" si="335"/>
        <v>X</v>
      </c>
      <c r="U445" s="176">
        <f t="shared" si="366"/>
        <v>9.602999999999998</v>
      </c>
      <c r="V445" s="178" t="str">
        <f t="shared" si="336"/>
        <v xml:space="preserve"> </v>
      </c>
      <c r="W445" s="176">
        <f t="shared" si="367"/>
        <v>0</v>
      </c>
      <c r="X445" s="178" t="str">
        <f t="shared" si="337"/>
        <v xml:space="preserve"> </v>
      </c>
      <c r="Y445" s="176">
        <f t="shared" si="368"/>
        <v>0</v>
      </c>
      <c r="Z445" s="178" t="s">
        <v>2581</v>
      </c>
      <c r="AA445" s="178" t="str">
        <f t="shared" si="338"/>
        <v>X</v>
      </c>
      <c r="AB445" s="176">
        <f t="shared" si="339"/>
        <v>5.77</v>
      </c>
      <c r="AC445" s="178" t="str">
        <f t="shared" si="340"/>
        <v xml:space="preserve"> </v>
      </c>
      <c r="AD445" s="176">
        <f t="shared" si="341"/>
        <v>0</v>
      </c>
      <c r="AE445" s="178" t="str">
        <f t="shared" si="342"/>
        <v xml:space="preserve"> </v>
      </c>
      <c r="AF445" s="176">
        <f t="shared" si="343"/>
        <v>0</v>
      </c>
      <c r="AG445" s="178" t="str">
        <f t="shared" si="363"/>
        <v/>
      </c>
      <c r="AH445" s="176">
        <f t="shared" si="364"/>
        <v>0</v>
      </c>
    </row>
    <row r="446" spans="2:34" ht="16.5" outlineLevel="1" x14ac:dyDescent="0.25">
      <c r="B446" s="175" t="s">
        <v>2677</v>
      </c>
      <c r="C446" s="176">
        <v>23.7</v>
      </c>
      <c r="D446" s="176">
        <v>20.28</v>
      </c>
      <c r="E446" s="194">
        <v>3</v>
      </c>
      <c r="F446" s="194">
        <v>0</v>
      </c>
      <c r="G446" s="194">
        <f t="shared" si="365"/>
        <v>3</v>
      </c>
      <c r="H446" s="176"/>
      <c r="I446" s="178" t="str">
        <f t="shared" si="355"/>
        <v>X</v>
      </c>
      <c r="J446" s="176">
        <f t="shared" si="356"/>
        <v>60.84</v>
      </c>
      <c r="K446" s="178" t="str">
        <f t="shared" si="357"/>
        <v xml:space="preserve"> </v>
      </c>
      <c r="L446" s="176">
        <f t="shared" si="358"/>
        <v>0</v>
      </c>
      <c r="M446" s="178" t="str">
        <f t="shared" si="359"/>
        <v>X</v>
      </c>
      <c r="N446" s="177">
        <f t="shared" si="360"/>
        <v>60.84</v>
      </c>
      <c r="O446" s="178" t="str">
        <f t="shared" si="361"/>
        <v xml:space="preserve"> </v>
      </c>
      <c r="P446" s="176">
        <v>1</v>
      </c>
      <c r="Q446" s="178" t="s">
        <v>0</v>
      </c>
      <c r="R446" s="176"/>
      <c r="S446" s="178" t="s">
        <v>2578</v>
      </c>
      <c r="T446" s="178" t="str">
        <f t="shared" si="335"/>
        <v>X</v>
      </c>
      <c r="U446" s="176">
        <f t="shared" si="366"/>
        <v>60.84</v>
      </c>
      <c r="V446" s="178" t="str">
        <f t="shared" si="336"/>
        <v xml:space="preserve"> </v>
      </c>
      <c r="W446" s="176">
        <f t="shared" si="367"/>
        <v>0</v>
      </c>
      <c r="X446" s="178" t="str">
        <f t="shared" si="337"/>
        <v xml:space="preserve"> </v>
      </c>
      <c r="Y446" s="176">
        <f t="shared" si="368"/>
        <v>0</v>
      </c>
      <c r="Z446" s="178" t="s">
        <v>2581</v>
      </c>
      <c r="AA446" s="178" t="str">
        <f t="shared" si="338"/>
        <v>X</v>
      </c>
      <c r="AB446" s="176">
        <f t="shared" si="339"/>
        <v>23.7</v>
      </c>
      <c r="AC446" s="178" t="str">
        <f t="shared" si="340"/>
        <v xml:space="preserve"> </v>
      </c>
      <c r="AD446" s="176">
        <f t="shared" si="341"/>
        <v>0</v>
      </c>
      <c r="AE446" s="178" t="str">
        <f t="shared" si="342"/>
        <v xml:space="preserve"> </v>
      </c>
      <c r="AF446" s="176">
        <f t="shared" si="343"/>
        <v>0</v>
      </c>
      <c r="AG446" s="178" t="str">
        <f t="shared" si="363"/>
        <v>X</v>
      </c>
      <c r="AH446" s="176">
        <f t="shared" si="364"/>
        <v>20.28</v>
      </c>
    </row>
    <row r="447" spans="2:34" ht="16.5" outlineLevel="1" x14ac:dyDescent="0.25">
      <c r="B447" s="175" t="s">
        <v>2831</v>
      </c>
      <c r="C447" s="176">
        <v>27.49</v>
      </c>
      <c r="D447" s="176">
        <v>21.79</v>
      </c>
      <c r="E447" s="194">
        <v>3</v>
      </c>
      <c r="F447" s="194">
        <v>0</v>
      </c>
      <c r="G447" s="194">
        <f t="shared" si="365"/>
        <v>3</v>
      </c>
      <c r="H447" s="176"/>
      <c r="I447" s="178" t="str">
        <f t="shared" si="355"/>
        <v>X</v>
      </c>
      <c r="J447" s="176">
        <f t="shared" si="356"/>
        <v>65.37</v>
      </c>
      <c r="K447" s="178" t="str">
        <f t="shared" si="357"/>
        <v xml:space="preserve"> </v>
      </c>
      <c r="L447" s="176">
        <f t="shared" si="358"/>
        <v>0</v>
      </c>
      <c r="M447" s="178" t="str">
        <f t="shared" si="359"/>
        <v>X</v>
      </c>
      <c r="N447" s="177">
        <f t="shared" si="360"/>
        <v>65.37</v>
      </c>
      <c r="O447" s="178" t="str">
        <f t="shared" si="361"/>
        <v xml:space="preserve"> </v>
      </c>
      <c r="P447" s="176">
        <v>1</v>
      </c>
      <c r="Q447" s="178" t="s">
        <v>0</v>
      </c>
      <c r="R447" s="176"/>
      <c r="S447" s="178" t="s">
        <v>2578</v>
      </c>
      <c r="T447" s="178" t="str">
        <f t="shared" si="335"/>
        <v>X</v>
      </c>
      <c r="U447" s="176">
        <f t="shared" si="366"/>
        <v>65.37</v>
      </c>
      <c r="V447" s="178" t="str">
        <f t="shared" si="336"/>
        <v xml:space="preserve"> </v>
      </c>
      <c r="W447" s="176">
        <f t="shared" si="367"/>
        <v>0</v>
      </c>
      <c r="X447" s="178" t="str">
        <f t="shared" si="337"/>
        <v xml:space="preserve"> </v>
      </c>
      <c r="Y447" s="176">
        <f t="shared" si="368"/>
        <v>0</v>
      </c>
      <c r="Z447" s="178" t="s">
        <v>2581</v>
      </c>
      <c r="AA447" s="178" t="str">
        <f t="shared" si="338"/>
        <v>X</v>
      </c>
      <c r="AB447" s="176">
        <f t="shared" si="339"/>
        <v>27.49</v>
      </c>
      <c r="AC447" s="178" t="str">
        <f t="shared" si="340"/>
        <v xml:space="preserve"> </v>
      </c>
      <c r="AD447" s="176">
        <f t="shared" si="341"/>
        <v>0</v>
      </c>
      <c r="AE447" s="178" t="str">
        <f t="shared" si="342"/>
        <v xml:space="preserve"> </v>
      </c>
      <c r="AF447" s="176">
        <f t="shared" si="343"/>
        <v>0</v>
      </c>
      <c r="AG447" s="178" t="str">
        <f t="shared" si="363"/>
        <v>X</v>
      </c>
      <c r="AH447" s="176">
        <f t="shared" si="364"/>
        <v>21.79</v>
      </c>
    </row>
    <row r="448" spans="2:34" ht="16.5" outlineLevel="1" x14ac:dyDescent="0.25">
      <c r="B448" s="175" t="s">
        <v>2832</v>
      </c>
      <c r="C448" s="176">
        <v>5.2</v>
      </c>
      <c r="D448" s="176">
        <v>10.01</v>
      </c>
      <c r="E448" s="194">
        <v>3</v>
      </c>
      <c r="F448" s="194">
        <v>2.1</v>
      </c>
      <c r="G448" s="194">
        <f t="shared" si="365"/>
        <v>0.89999999999999991</v>
      </c>
      <c r="H448" s="176"/>
      <c r="I448" s="178" t="str">
        <f t="shared" si="355"/>
        <v>X</v>
      </c>
      <c r="J448" s="176">
        <f t="shared" si="356"/>
        <v>30.03</v>
      </c>
      <c r="K448" s="178" t="str">
        <f t="shared" si="357"/>
        <v>X</v>
      </c>
      <c r="L448" s="176">
        <f t="shared" si="358"/>
        <v>21.021000000000001</v>
      </c>
      <c r="M448" s="178" t="str">
        <f t="shared" si="359"/>
        <v>X</v>
      </c>
      <c r="N448" s="177">
        <f t="shared" si="360"/>
        <v>9.0090000000000003</v>
      </c>
      <c r="O448" s="178" t="str">
        <f t="shared" si="361"/>
        <v>X</v>
      </c>
      <c r="P448" s="176">
        <f t="shared" si="362"/>
        <v>21.021000000000001</v>
      </c>
      <c r="Q448" s="178" t="s">
        <v>0</v>
      </c>
      <c r="R448" s="176"/>
      <c r="S448" s="178" t="s">
        <v>2578</v>
      </c>
      <c r="T448" s="178" t="str">
        <f t="shared" si="335"/>
        <v>X</v>
      </c>
      <c r="U448" s="176">
        <f t="shared" si="366"/>
        <v>9.0090000000000003</v>
      </c>
      <c r="V448" s="178" t="str">
        <f t="shared" si="336"/>
        <v xml:space="preserve"> </v>
      </c>
      <c r="W448" s="176">
        <f t="shared" si="367"/>
        <v>0</v>
      </c>
      <c r="X448" s="178" t="str">
        <f t="shared" si="337"/>
        <v xml:space="preserve"> </v>
      </c>
      <c r="Y448" s="176">
        <f t="shared" si="368"/>
        <v>0</v>
      </c>
      <c r="Z448" s="178" t="s">
        <v>2581</v>
      </c>
      <c r="AA448" s="178" t="str">
        <f t="shared" si="338"/>
        <v>X</v>
      </c>
      <c r="AB448" s="176">
        <f t="shared" si="339"/>
        <v>5.2</v>
      </c>
      <c r="AC448" s="178" t="str">
        <f t="shared" si="340"/>
        <v xml:space="preserve"> </v>
      </c>
      <c r="AD448" s="176">
        <f t="shared" si="341"/>
        <v>0</v>
      </c>
      <c r="AE448" s="178" t="str">
        <f t="shared" si="342"/>
        <v xml:space="preserve"> </v>
      </c>
      <c r="AF448" s="176">
        <f t="shared" si="343"/>
        <v>0</v>
      </c>
      <c r="AG448" s="178" t="str">
        <f t="shared" si="363"/>
        <v/>
      </c>
      <c r="AH448" s="176">
        <f t="shared" si="364"/>
        <v>0</v>
      </c>
    </row>
    <row r="449" spans="2:34" ht="16.5" outlineLevel="1" x14ac:dyDescent="0.25">
      <c r="B449" s="175" t="s">
        <v>2833</v>
      </c>
      <c r="C449" s="176">
        <v>27.41</v>
      </c>
      <c r="D449" s="176">
        <v>21.79</v>
      </c>
      <c r="E449" s="194">
        <v>3</v>
      </c>
      <c r="F449" s="194">
        <v>0</v>
      </c>
      <c r="G449" s="194">
        <f t="shared" si="365"/>
        <v>3</v>
      </c>
      <c r="H449" s="176"/>
      <c r="I449" s="178" t="str">
        <f t="shared" si="355"/>
        <v>X</v>
      </c>
      <c r="J449" s="176">
        <f t="shared" si="356"/>
        <v>65.37</v>
      </c>
      <c r="K449" s="178" t="str">
        <f t="shared" si="357"/>
        <v xml:space="preserve"> </v>
      </c>
      <c r="L449" s="176">
        <f t="shared" si="358"/>
        <v>0</v>
      </c>
      <c r="M449" s="178" t="str">
        <f t="shared" si="359"/>
        <v>X</v>
      </c>
      <c r="N449" s="177">
        <f t="shared" si="360"/>
        <v>65.37</v>
      </c>
      <c r="O449" s="178" t="str">
        <f t="shared" si="361"/>
        <v xml:space="preserve"> </v>
      </c>
      <c r="P449" s="176">
        <v>1</v>
      </c>
      <c r="Q449" s="178" t="s">
        <v>0</v>
      </c>
      <c r="R449" s="176"/>
      <c r="S449" s="178" t="s">
        <v>2578</v>
      </c>
      <c r="T449" s="178" t="str">
        <f t="shared" si="335"/>
        <v>X</v>
      </c>
      <c r="U449" s="176">
        <f t="shared" si="366"/>
        <v>65.37</v>
      </c>
      <c r="V449" s="178" t="str">
        <f t="shared" si="336"/>
        <v xml:space="preserve"> </v>
      </c>
      <c r="W449" s="176">
        <f t="shared" si="367"/>
        <v>0</v>
      </c>
      <c r="X449" s="178" t="str">
        <f t="shared" si="337"/>
        <v xml:space="preserve"> </v>
      </c>
      <c r="Y449" s="176">
        <f t="shared" si="368"/>
        <v>0</v>
      </c>
      <c r="Z449" s="178" t="s">
        <v>2581</v>
      </c>
      <c r="AA449" s="178" t="str">
        <f t="shared" si="338"/>
        <v>X</v>
      </c>
      <c r="AB449" s="176">
        <f t="shared" si="339"/>
        <v>27.41</v>
      </c>
      <c r="AC449" s="178" t="str">
        <f t="shared" si="340"/>
        <v xml:space="preserve"> </v>
      </c>
      <c r="AD449" s="176">
        <f t="shared" si="341"/>
        <v>0</v>
      </c>
      <c r="AE449" s="178" t="str">
        <f t="shared" si="342"/>
        <v xml:space="preserve"> </v>
      </c>
      <c r="AF449" s="176">
        <f t="shared" si="343"/>
        <v>0</v>
      </c>
      <c r="AG449" s="178" t="str">
        <f t="shared" si="363"/>
        <v>X</v>
      </c>
      <c r="AH449" s="176">
        <f t="shared" si="364"/>
        <v>21.79</v>
      </c>
    </row>
    <row r="450" spans="2:34" ht="16.5" outlineLevel="1" x14ac:dyDescent="0.25">
      <c r="B450" s="175" t="s">
        <v>2834</v>
      </c>
      <c r="C450" s="176">
        <v>5.2</v>
      </c>
      <c r="D450" s="176">
        <v>10.01</v>
      </c>
      <c r="E450" s="194">
        <v>3</v>
      </c>
      <c r="F450" s="194">
        <v>2.1</v>
      </c>
      <c r="G450" s="194">
        <f t="shared" si="365"/>
        <v>0.89999999999999991</v>
      </c>
      <c r="H450" s="176"/>
      <c r="I450" s="178" t="str">
        <f t="shared" si="355"/>
        <v>X</v>
      </c>
      <c r="J450" s="176">
        <f>IF(I450="X",($D450-H450)*E450,0)</f>
        <v>30.03</v>
      </c>
      <c r="K450" s="178" t="str">
        <f t="shared" si="357"/>
        <v>X</v>
      </c>
      <c r="L450" s="176">
        <f>IF(K450="X",($D450-H450)*F450,0)</f>
        <v>21.021000000000001</v>
      </c>
      <c r="M450" s="178" t="str">
        <f t="shared" si="359"/>
        <v>X</v>
      </c>
      <c r="N450" s="177">
        <f>IF(M450="X",J450-L450,0)</f>
        <v>9.0090000000000003</v>
      </c>
      <c r="O450" s="178" t="str">
        <f t="shared" si="361"/>
        <v>X</v>
      </c>
      <c r="P450" s="176">
        <f>IF(L450&gt;0,L450,0)</f>
        <v>21.021000000000001</v>
      </c>
      <c r="Q450" s="178" t="s">
        <v>0</v>
      </c>
      <c r="R450" s="176"/>
      <c r="S450" s="178" t="s">
        <v>2578</v>
      </c>
      <c r="T450" s="178" t="str">
        <f t="shared" si="335"/>
        <v>X</v>
      </c>
      <c r="U450" s="176">
        <f t="shared" si="366"/>
        <v>9.0090000000000003</v>
      </c>
      <c r="V450" s="178" t="str">
        <f t="shared" si="336"/>
        <v xml:space="preserve"> </v>
      </c>
      <c r="W450" s="176">
        <f t="shared" si="367"/>
        <v>0</v>
      </c>
      <c r="X450" s="178" t="str">
        <f t="shared" si="337"/>
        <v xml:space="preserve"> </v>
      </c>
      <c r="Y450" s="176">
        <f t="shared" si="368"/>
        <v>0</v>
      </c>
      <c r="Z450" s="178" t="s">
        <v>2581</v>
      </c>
      <c r="AA450" s="178" t="str">
        <f t="shared" si="338"/>
        <v>X</v>
      </c>
      <c r="AB450" s="176">
        <f t="shared" si="339"/>
        <v>5.2</v>
      </c>
      <c r="AC450" s="178" t="str">
        <f t="shared" si="340"/>
        <v xml:space="preserve"> </v>
      </c>
      <c r="AD450" s="176">
        <f t="shared" si="341"/>
        <v>0</v>
      </c>
      <c r="AE450" s="178" t="str">
        <f t="shared" si="342"/>
        <v xml:space="preserve"> </v>
      </c>
      <c r="AF450" s="176">
        <f t="shared" si="343"/>
        <v>0</v>
      </c>
      <c r="AG450" s="178" t="str">
        <f t="shared" si="363"/>
        <v/>
      </c>
      <c r="AH450" s="176">
        <f t="shared" si="364"/>
        <v>0</v>
      </c>
    </row>
    <row r="451" spans="2:34" ht="16.5" outlineLevel="1" x14ac:dyDescent="0.25">
      <c r="B451" s="175" t="s">
        <v>2835</v>
      </c>
      <c r="C451" s="176">
        <v>27.34</v>
      </c>
      <c r="D451" s="176">
        <v>21.77</v>
      </c>
      <c r="E451" s="194">
        <v>3</v>
      </c>
      <c r="F451" s="194">
        <v>0</v>
      </c>
      <c r="G451" s="194">
        <f t="shared" si="365"/>
        <v>3</v>
      </c>
      <c r="H451" s="176"/>
      <c r="I451" s="178" t="str">
        <f t="shared" si="355"/>
        <v>X</v>
      </c>
      <c r="J451" s="176">
        <f>IF(I451="X",($D451-H451)*E451,0)</f>
        <v>65.31</v>
      </c>
      <c r="K451" s="178" t="str">
        <f t="shared" si="357"/>
        <v xml:space="preserve"> </v>
      </c>
      <c r="L451" s="176">
        <f>IF(K451="X",($D451-H451)*F451,0)</f>
        <v>0</v>
      </c>
      <c r="M451" s="178" t="str">
        <f t="shared" si="359"/>
        <v>X</v>
      </c>
      <c r="N451" s="177">
        <f>IF(M451="X",J451-L451,0)</f>
        <v>65.31</v>
      </c>
      <c r="O451" s="178" t="str">
        <f t="shared" si="361"/>
        <v xml:space="preserve"> </v>
      </c>
      <c r="P451" s="176">
        <v>1</v>
      </c>
      <c r="Q451" s="178" t="s">
        <v>0</v>
      </c>
      <c r="R451" s="176"/>
      <c r="S451" s="178" t="s">
        <v>2578</v>
      </c>
      <c r="T451" s="178" t="str">
        <f t="shared" si="335"/>
        <v>X</v>
      </c>
      <c r="U451" s="176">
        <f t="shared" si="366"/>
        <v>65.31</v>
      </c>
      <c r="V451" s="178" t="str">
        <f t="shared" si="336"/>
        <v xml:space="preserve"> </v>
      </c>
      <c r="W451" s="176">
        <f t="shared" si="367"/>
        <v>0</v>
      </c>
      <c r="X451" s="178" t="str">
        <f t="shared" si="337"/>
        <v xml:space="preserve"> </v>
      </c>
      <c r="Y451" s="176">
        <f t="shared" si="368"/>
        <v>0</v>
      </c>
      <c r="Z451" s="178" t="s">
        <v>2581</v>
      </c>
      <c r="AA451" s="178" t="str">
        <f t="shared" si="338"/>
        <v>X</v>
      </c>
      <c r="AB451" s="176">
        <f t="shared" si="339"/>
        <v>27.34</v>
      </c>
      <c r="AC451" s="178" t="str">
        <f t="shared" si="340"/>
        <v xml:space="preserve"> </v>
      </c>
      <c r="AD451" s="176">
        <f t="shared" si="341"/>
        <v>0</v>
      </c>
      <c r="AE451" s="178" t="str">
        <f t="shared" si="342"/>
        <v xml:space="preserve"> </v>
      </c>
      <c r="AF451" s="176">
        <f t="shared" si="343"/>
        <v>0</v>
      </c>
      <c r="AG451" s="178" t="str">
        <f t="shared" si="363"/>
        <v>X</v>
      </c>
      <c r="AH451" s="176">
        <f t="shared" si="364"/>
        <v>21.77</v>
      </c>
    </row>
    <row r="452" spans="2:34" ht="16.5" outlineLevel="1" x14ac:dyDescent="0.25">
      <c r="B452" s="175" t="s">
        <v>2836</v>
      </c>
      <c r="C452" s="176">
        <v>5.7</v>
      </c>
      <c r="D452" s="176">
        <v>10.11</v>
      </c>
      <c r="E452" s="194">
        <v>3</v>
      </c>
      <c r="F452" s="194">
        <v>2.1</v>
      </c>
      <c r="G452" s="194">
        <f t="shared" si="365"/>
        <v>0.89999999999999991</v>
      </c>
      <c r="H452" s="176"/>
      <c r="I452" s="178" t="str">
        <f t="shared" si="355"/>
        <v>X</v>
      </c>
      <c r="J452" s="176">
        <f>IF(I452="X",($D452-H452)*E452,0)</f>
        <v>30.33</v>
      </c>
      <c r="K452" s="178" t="str">
        <f t="shared" si="357"/>
        <v>X</v>
      </c>
      <c r="L452" s="176">
        <f>IF(K452="X",($D452-H452)*F452,0)</f>
        <v>21.230999999999998</v>
      </c>
      <c r="M452" s="178" t="str">
        <f t="shared" si="359"/>
        <v>X</v>
      </c>
      <c r="N452" s="177">
        <f>IF(M452="X",J452-L452,0)</f>
        <v>9.0990000000000002</v>
      </c>
      <c r="O452" s="178" t="str">
        <f t="shared" si="361"/>
        <v>X</v>
      </c>
      <c r="P452" s="176">
        <f>IF(L452&gt;0,L452,0)</f>
        <v>21.230999999999998</v>
      </c>
      <c r="Q452" s="178" t="s">
        <v>0</v>
      </c>
      <c r="R452" s="176"/>
      <c r="S452" s="178" t="s">
        <v>2578</v>
      </c>
      <c r="T452" s="178" t="str">
        <f t="shared" si="335"/>
        <v>X</v>
      </c>
      <c r="U452" s="176">
        <f t="shared" si="366"/>
        <v>9.0990000000000002</v>
      </c>
      <c r="V452" s="178" t="str">
        <f t="shared" si="336"/>
        <v xml:space="preserve"> </v>
      </c>
      <c r="W452" s="176">
        <f t="shared" si="367"/>
        <v>0</v>
      </c>
      <c r="X452" s="178" t="str">
        <f t="shared" si="337"/>
        <v xml:space="preserve"> </v>
      </c>
      <c r="Y452" s="176">
        <f t="shared" si="368"/>
        <v>0</v>
      </c>
      <c r="Z452" s="178" t="s">
        <v>2581</v>
      </c>
      <c r="AA452" s="178" t="str">
        <f t="shared" si="338"/>
        <v>X</v>
      </c>
      <c r="AB452" s="176">
        <f t="shared" si="339"/>
        <v>5.7</v>
      </c>
      <c r="AC452" s="178" t="str">
        <f t="shared" si="340"/>
        <v xml:space="preserve"> </v>
      </c>
      <c r="AD452" s="176">
        <f t="shared" si="341"/>
        <v>0</v>
      </c>
      <c r="AE452" s="178" t="str">
        <f t="shared" si="342"/>
        <v xml:space="preserve"> </v>
      </c>
      <c r="AF452" s="176">
        <f t="shared" si="343"/>
        <v>0</v>
      </c>
      <c r="AG452" s="178" t="str">
        <f t="shared" si="363"/>
        <v/>
      </c>
      <c r="AH452" s="176">
        <f t="shared" si="364"/>
        <v>0</v>
      </c>
    </row>
    <row r="453" spans="2:34" ht="16.5" outlineLevel="1" x14ac:dyDescent="0.25">
      <c r="B453" s="175" t="s">
        <v>2594</v>
      </c>
      <c r="C453" s="176">
        <v>136.75</v>
      </c>
      <c r="D453" s="176">
        <v>107.5</v>
      </c>
      <c r="E453" s="194">
        <v>3</v>
      </c>
      <c r="F453" s="194">
        <v>0</v>
      </c>
      <c r="G453" s="194">
        <f t="shared" si="365"/>
        <v>3</v>
      </c>
      <c r="H453" s="176">
        <v>2.6</v>
      </c>
      <c r="I453" s="178" t="str">
        <f t="shared" si="355"/>
        <v>X</v>
      </c>
      <c r="J453" s="176">
        <f>IF(I453="X",($D453-H453)*E453,0)</f>
        <v>314.70000000000005</v>
      </c>
      <c r="K453" s="178" t="str">
        <f t="shared" si="357"/>
        <v xml:space="preserve"> </v>
      </c>
      <c r="L453" s="176">
        <f>IF(K453="X",($D453-H453)*F453,0)</f>
        <v>0</v>
      </c>
      <c r="M453" s="178" t="str">
        <f t="shared" si="359"/>
        <v>X</v>
      </c>
      <c r="N453" s="177">
        <f>IF(M453="X",J453-L453,0)</f>
        <v>314.70000000000005</v>
      </c>
      <c r="O453" s="178" t="str">
        <f t="shared" si="361"/>
        <v xml:space="preserve"> </v>
      </c>
      <c r="P453" s="176">
        <f>IF(L453&gt;0,L453,0)</f>
        <v>0</v>
      </c>
      <c r="Q453" s="178" t="s">
        <v>0</v>
      </c>
      <c r="R453" s="176"/>
      <c r="S453" s="178" t="s">
        <v>2578</v>
      </c>
      <c r="T453" s="178" t="str">
        <f t="shared" si="335"/>
        <v>X</v>
      </c>
      <c r="U453" s="176">
        <f t="shared" si="366"/>
        <v>314.70000000000005</v>
      </c>
      <c r="V453" s="178" t="str">
        <f t="shared" si="336"/>
        <v xml:space="preserve"> </v>
      </c>
      <c r="W453" s="176">
        <f t="shared" si="367"/>
        <v>0</v>
      </c>
      <c r="X453" s="178" t="str">
        <f t="shared" si="337"/>
        <v xml:space="preserve"> </v>
      </c>
      <c r="Y453" s="176">
        <f t="shared" si="368"/>
        <v>0</v>
      </c>
      <c r="Z453" s="178" t="s">
        <v>2582</v>
      </c>
      <c r="AA453" s="178" t="str">
        <f t="shared" si="338"/>
        <v xml:space="preserve"> </v>
      </c>
      <c r="AB453" s="176">
        <f t="shared" si="339"/>
        <v>0</v>
      </c>
      <c r="AC453" s="178" t="str">
        <f t="shared" si="340"/>
        <v>X</v>
      </c>
      <c r="AD453" s="176">
        <f t="shared" si="341"/>
        <v>136.75</v>
      </c>
      <c r="AE453" s="178" t="str">
        <f t="shared" si="342"/>
        <v xml:space="preserve"> </v>
      </c>
      <c r="AF453" s="176">
        <f t="shared" si="343"/>
        <v>0</v>
      </c>
      <c r="AG453" s="178" t="str">
        <f t="shared" si="363"/>
        <v>X</v>
      </c>
      <c r="AH453" s="176">
        <f t="shared" si="364"/>
        <v>104.9</v>
      </c>
    </row>
    <row r="454" spans="2:34" ht="16.5" x14ac:dyDescent="0.25">
      <c r="B454" s="182"/>
      <c r="C454" s="185"/>
      <c r="D454" s="185"/>
      <c r="E454" s="185"/>
      <c r="F454" s="185"/>
      <c r="G454" s="185"/>
      <c r="H454" s="185"/>
      <c r="I454" s="184"/>
      <c r="J454" s="185"/>
      <c r="K454" s="184"/>
      <c r="L454" s="185"/>
      <c r="M454" s="184"/>
      <c r="N454" s="185"/>
      <c r="O454" s="201"/>
      <c r="P454" s="185"/>
      <c r="Q454" s="184"/>
      <c r="R454" s="189"/>
      <c r="S454" s="185"/>
      <c r="T454" s="184"/>
      <c r="U454" s="185"/>
      <c r="V454" s="184"/>
      <c r="W454" s="185"/>
      <c r="X454" s="184"/>
      <c r="Y454" s="189"/>
      <c r="Z454" s="185"/>
      <c r="AA454" s="184"/>
      <c r="AB454" s="185"/>
      <c r="AC454" s="184"/>
      <c r="AD454" s="185"/>
      <c r="AE454" s="184"/>
      <c r="AF454" s="189"/>
      <c r="AG454" s="184"/>
      <c r="AH454" s="189"/>
    </row>
    <row r="455" spans="2:34" ht="16.5" x14ac:dyDescent="0.25">
      <c r="B455" s="929" t="s">
        <v>2837</v>
      </c>
      <c r="C455" s="930"/>
      <c r="D455" s="930"/>
      <c r="E455" s="930"/>
      <c r="F455" s="930"/>
      <c r="G455" s="930"/>
      <c r="H455" s="931"/>
      <c r="I455" s="190" t="s">
        <v>2586</v>
      </c>
      <c r="J455" s="191">
        <f>SUBTOTAL(9,J456:J477)</f>
        <v>1110.96</v>
      </c>
      <c r="K455" s="192" t="s">
        <v>2586</v>
      </c>
      <c r="L455" s="191">
        <f>SUBTOTAL(9,L456:L477)</f>
        <v>210.88200000000003</v>
      </c>
      <c r="M455" s="190" t="s">
        <v>2586</v>
      </c>
      <c r="N455" s="200">
        <f>SUBTOTAL(9,N456:N477)</f>
        <v>900.07799999999986</v>
      </c>
      <c r="O455" s="190" t="s">
        <v>2586</v>
      </c>
      <c r="P455" s="191">
        <f>SUBTOTAL(9,P456:P477)</f>
        <v>189.23000000000002</v>
      </c>
      <c r="Q455" s="190" t="s">
        <v>2586</v>
      </c>
      <c r="R455" s="191">
        <f>SUBTOTAL(9,R456:R477)</f>
        <v>0</v>
      </c>
      <c r="S455" s="191"/>
      <c r="T455" s="190" t="s">
        <v>2586</v>
      </c>
      <c r="U455" s="200">
        <f>SUBTOTAL(9,U456:U477)</f>
        <v>900.07799999999986</v>
      </c>
      <c r="V455" s="190" t="s">
        <v>2586</v>
      </c>
      <c r="W455" s="191">
        <f>SUBTOTAL(9,W456:W477)</f>
        <v>0</v>
      </c>
      <c r="X455" s="190" t="s">
        <v>2586</v>
      </c>
      <c r="Y455" s="191">
        <f>SUBTOTAL(9,Y456:Y477)</f>
        <v>0</v>
      </c>
      <c r="Z455" s="191"/>
      <c r="AA455" s="190" t="s">
        <v>2586</v>
      </c>
      <c r="AB455" s="200">
        <f>SUBTOTAL(9,AB456:AB477)</f>
        <v>302</v>
      </c>
      <c r="AC455" s="190" t="s">
        <v>2586</v>
      </c>
      <c r="AD455" s="191">
        <f>SUBTOTAL(9,AD456:AD477)</f>
        <v>44.57</v>
      </c>
      <c r="AE455" s="190" t="s">
        <v>2586</v>
      </c>
      <c r="AF455" s="191">
        <f>SUBTOTAL(9,AF456:AF477)</f>
        <v>0</v>
      </c>
      <c r="AG455" s="190" t="s">
        <v>2586</v>
      </c>
      <c r="AH455" s="191">
        <f>SUBTOTAL(9,AH456:AH477)</f>
        <v>269.90000000000003</v>
      </c>
    </row>
    <row r="456" spans="2:34" ht="16.5" outlineLevel="1" x14ac:dyDescent="0.25">
      <c r="B456" s="175" t="s">
        <v>2642</v>
      </c>
      <c r="C456" s="176">
        <v>25.32</v>
      </c>
      <c r="D456" s="176">
        <v>21.07</v>
      </c>
      <c r="E456" s="194">
        <v>3</v>
      </c>
      <c r="F456" s="194">
        <v>0</v>
      </c>
      <c r="G456" s="194">
        <f>E456-F456</f>
        <v>3</v>
      </c>
      <c r="H456" s="176"/>
      <c r="I456" s="178" t="str">
        <f t="shared" ref="I456:I477" si="369">IF($E456&gt;0,"X"," ")</f>
        <v>X</v>
      </c>
      <c r="J456" s="176">
        <f t="shared" ref="J456:J469" si="370">IF(I456="X",($D456-H456)*E456,0)</f>
        <v>63.21</v>
      </c>
      <c r="K456" s="178" t="str">
        <f t="shared" ref="K456:K477" si="371">IF($F456&gt;0,"X"," ")</f>
        <v xml:space="preserve"> </v>
      </c>
      <c r="L456" s="176">
        <f t="shared" ref="L456:L469" si="372">IF(K456="X",($D456-H456)*F456,0)</f>
        <v>0</v>
      </c>
      <c r="M456" s="178" t="str">
        <f t="shared" ref="M456:M477" si="373">IF($E456&gt;0,"X"," ")</f>
        <v>X</v>
      </c>
      <c r="N456" s="177">
        <f t="shared" ref="N456:N469" si="374">IF(M456="X",J456-L456,0)</f>
        <v>63.21</v>
      </c>
      <c r="O456" s="178" t="str">
        <f t="shared" ref="O456:O477" si="375">IF($F456&gt;0,"X"," ")</f>
        <v xml:space="preserve"> </v>
      </c>
      <c r="P456" s="176">
        <v>1</v>
      </c>
      <c r="Q456" s="178" t="s">
        <v>0</v>
      </c>
      <c r="R456" s="176"/>
      <c r="S456" s="178" t="s">
        <v>2578</v>
      </c>
      <c r="T456" s="178" t="str">
        <f t="shared" ref="T456:T477" si="376">IF($S456="ACRÍLICA","X"," ")</f>
        <v>X</v>
      </c>
      <c r="U456" s="176">
        <f>IF(T456="X",$N456,0)</f>
        <v>63.21</v>
      </c>
      <c r="V456" s="178" t="str">
        <f t="shared" ref="V456:V477" si="377">IF($S456="EPÓXI","X"," ")</f>
        <v xml:space="preserve"> </v>
      </c>
      <c r="W456" s="176">
        <f>IF(V456="X",$N456,0)</f>
        <v>0</v>
      </c>
      <c r="X456" s="178" t="str">
        <f t="shared" ref="X456:X477" si="378">IF($S456="TEXTURA","X"," ")</f>
        <v xml:space="preserve"> </v>
      </c>
      <c r="Y456" s="176">
        <f>IF(X456="X",$N456,0)</f>
        <v>0</v>
      </c>
      <c r="Z456" s="178" t="s">
        <v>2581</v>
      </c>
      <c r="AA456" s="178" t="str">
        <f t="shared" ref="AA456:AA477" si="379">IF($Z456="ACARTONADO","X"," ")</f>
        <v>X</v>
      </c>
      <c r="AB456" s="176">
        <f t="shared" ref="AB456:AB477" si="380">IF(AA456="X",$C456,0)</f>
        <v>25.32</v>
      </c>
      <c r="AC456" s="178" t="str">
        <f t="shared" ref="AC456:AC477" si="381">IF($Z456="MINERAL","X"," ")</f>
        <v xml:space="preserve"> </v>
      </c>
      <c r="AD456" s="176">
        <f t="shared" ref="AD456:AD477" si="382">IF(AC456="X",$C456,0)</f>
        <v>0</v>
      </c>
      <c r="AE456" s="178" t="str">
        <f t="shared" ref="AE456:AE477" si="383">IF($Z456="LAJE","X"," ")</f>
        <v xml:space="preserve"> </v>
      </c>
      <c r="AF456" s="176">
        <f t="shared" ref="AF456:AF477" si="384">IF(AE456="X",$C456,0)</f>
        <v>0</v>
      </c>
      <c r="AG456" s="178" t="str">
        <f t="shared" ref="AG456:AG477" si="385">IF(K456="X","","X")</f>
        <v>X</v>
      </c>
      <c r="AH456" s="176">
        <f t="shared" ref="AH456:AH477" si="386">IF(AG456="X",$D456-H456,0)</f>
        <v>21.07</v>
      </c>
    </row>
    <row r="457" spans="2:34" ht="16.5" outlineLevel="1" x14ac:dyDescent="0.25">
      <c r="B457" s="175" t="s">
        <v>2643</v>
      </c>
      <c r="C457" s="176">
        <v>5.17</v>
      </c>
      <c r="D457" s="176">
        <v>9.99</v>
      </c>
      <c r="E457" s="194">
        <v>3</v>
      </c>
      <c r="F457" s="194">
        <v>2.1</v>
      </c>
      <c r="G457" s="194">
        <f t="shared" ref="G457:G477" si="387">E457-F457</f>
        <v>0.89999999999999991</v>
      </c>
      <c r="H457" s="176"/>
      <c r="I457" s="178" t="str">
        <f t="shared" si="369"/>
        <v>X</v>
      </c>
      <c r="J457" s="176">
        <f t="shared" si="370"/>
        <v>29.97</v>
      </c>
      <c r="K457" s="178" t="str">
        <f t="shared" si="371"/>
        <v>X</v>
      </c>
      <c r="L457" s="176">
        <f t="shared" si="372"/>
        <v>20.979000000000003</v>
      </c>
      <c r="M457" s="178" t="str">
        <f t="shared" si="373"/>
        <v>X</v>
      </c>
      <c r="N457" s="177">
        <f t="shared" si="374"/>
        <v>8.9909999999999961</v>
      </c>
      <c r="O457" s="178" t="str">
        <f t="shared" si="375"/>
        <v>X</v>
      </c>
      <c r="P457" s="176">
        <f>IF(L457&gt;0,L457,0)</f>
        <v>20.979000000000003</v>
      </c>
      <c r="Q457" s="178" t="s">
        <v>0</v>
      </c>
      <c r="R457" s="176"/>
      <c r="S457" s="178" t="s">
        <v>2578</v>
      </c>
      <c r="T457" s="178" t="str">
        <f t="shared" si="376"/>
        <v>X</v>
      </c>
      <c r="U457" s="176">
        <f t="shared" ref="U457:U477" si="388">IF(T457="X",$N457,0)</f>
        <v>8.9909999999999961</v>
      </c>
      <c r="V457" s="178" t="str">
        <f t="shared" si="377"/>
        <v xml:space="preserve"> </v>
      </c>
      <c r="W457" s="176">
        <f t="shared" ref="W457:W477" si="389">IF(V457="X",$N457,0)</f>
        <v>0</v>
      </c>
      <c r="X457" s="178" t="str">
        <f t="shared" si="378"/>
        <v xml:space="preserve"> </v>
      </c>
      <c r="Y457" s="176">
        <f t="shared" ref="Y457:Y477" si="390">IF(X457="X",$N457,0)</f>
        <v>0</v>
      </c>
      <c r="Z457" s="178" t="s">
        <v>2581</v>
      </c>
      <c r="AA457" s="178" t="str">
        <f t="shared" si="379"/>
        <v>X</v>
      </c>
      <c r="AB457" s="176">
        <f t="shared" si="380"/>
        <v>5.17</v>
      </c>
      <c r="AC457" s="178" t="str">
        <f t="shared" si="381"/>
        <v xml:space="preserve"> </v>
      </c>
      <c r="AD457" s="176">
        <f t="shared" si="382"/>
        <v>0</v>
      </c>
      <c r="AE457" s="178" t="str">
        <f t="shared" si="383"/>
        <v xml:space="preserve"> </v>
      </c>
      <c r="AF457" s="176">
        <f t="shared" si="384"/>
        <v>0</v>
      </c>
      <c r="AG457" s="178" t="str">
        <f t="shared" si="385"/>
        <v/>
      </c>
      <c r="AH457" s="176">
        <f t="shared" si="386"/>
        <v>0</v>
      </c>
    </row>
    <row r="458" spans="2:34" ht="16.5" outlineLevel="1" x14ac:dyDescent="0.25">
      <c r="B458" s="175" t="s">
        <v>2644</v>
      </c>
      <c r="C458" s="176">
        <v>25.37</v>
      </c>
      <c r="D458" s="176">
        <v>21.11</v>
      </c>
      <c r="E458" s="194">
        <v>3</v>
      </c>
      <c r="F458" s="194">
        <v>0</v>
      </c>
      <c r="G458" s="194">
        <f t="shared" si="387"/>
        <v>3</v>
      </c>
      <c r="H458" s="176"/>
      <c r="I458" s="178" t="str">
        <f t="shared" si="369"/>
        <v>X</v>
      </c>
      <c r="J458" s="176">
        <f t="shared" si="370"/>
        <v>63.33</v>
      </c>
      <c r="K458" s="178" t="str">
        <f t="shared" si="371"/>
        <v xml:space="preserve"> </v>
      </c>
      <c r="L458" s="176">
        <f t="shared" si="372"/>
        <v>0</v>
      </c>
      <c r="M458" s="178" t="str">
        <f t="shared" si="373"/>
        <v>X</v>
      </c>
      <c r="N458" s="177">
        <f t="shared" si="374"/>
        <v>63.33</v>
      </c>
      <c r="O458" s="178" t="str">
        <f t="shared" si="375"/>
        <v xml:space="preserve"> </v>
      </c>
      <c r="P458" s="176">
        <v>1</v>
      </c>
      <c r="Q458" s="178" t="s">
        <v>0</v>
      </c>
      <c r="R458" s="176"/>
      <c r="S458" s="178" t="s">
        <v>2578</v>
      </c>
      <c r="T458" s="178" t="str">
        <f t="shared" si="376"/>
        <v>X</v>
      </c>
      <c r="U458" s="176">
        <f t="shared" si="388"/>
        <v>63.33</v>
      </c>
      <c r="V458" s="178" t="str">
        <f t="shared" si="377"/>
        <v xml:space="preserve"> </v>
      </c>
      <c r="W458" s="176">
        <f t="shared" si="389"/>
        <v>0</v>
      </c>
      <c r="X458" s="178" t="str">
        <f t="shared" si="378"/>
        <v xml:space="preserve"> </v>
      </c>
      <c r="Y458" s="176">
        <f t="shared" si="390"/>
        <v>0</v>
      </c>
      <c r="Z458" s="178" t="s">
        <v>2581</v>
      </c>
      <c r="AA458" s="178" t="str">
        <f t="shared" si="379"/>
        <v>X</v>
      </c>
      <c r="AB458" s="176">
        <f t="shared" si="380"/>
        <v>25.37</v>
      </c>
      <c r="AC458" s="178" t="str">
        <f t="shared" si="381"/>
        <v xml:space="preserve"> </v>
      </c>
      <c r="AD458" s="176">
        <f t="shared" si="382"/>
        <v>0</v>
      </c>
      <c r="AE458" s="178" t="str">
        <f t="shared" si="383"/>
        <v xml:space="preserve"> </v>
      </c>
      <c r="AF458" s="176">
        <f t="shared" si="384"/>
        <v>0</v>
      </c>
      <c r="AG458" s="178" t="str">
        <f t="shared" si="385"/>
        <v>X</v>
      </c>
      <c r="AH458" s="176">
        <f t="shared" si="386"/>
        <v>21.11</v>
      </c>
    </row>
    <row r="459" spans="2:34" ht="16.5" outlineLevel="1" x14ac:dyDescent="0.25">
      <c r="B459" s="175" t="s">
        <v>2645</v>
      </c>
      <c r="C459" s="176">
        <v>5.18</v>
      </c>
      <c r="D459" s="176">
        <v>9.99</v>
      </c>
      <c r="E459" s="194">
        <v>3</v>
      </c>
      <c r="F459" s="194">
        <v>2.1</v>
      </c>
      <c r="G459" s="194">
        <f t="shared" si="387"/>
        <v>0.89999999999999991</v>
      </c>
      <c r="H459" s="176"/>
      <c r="I459" s="178" t="str">
        <f t="shared" si="369"/>
        <v>X</v>
      </c>
      <c r="J459" s="176">
        <f t="shared" si="370"/>
        <v>29.97</v>
      </c>
      <c r="K459" s="178" t="str">
        <f t="shared" si="371"/>
        <v>X</v>
      </c>
      <c r="L459" s="176">
        <f t="shared" si="372"/>
        <v>20.979000000000003</v>
      </c>
      <c r="M459" s="178" t="str">
        <f t="shared" si="373"/>
        <v>X</v>
      </c>
      <c r="N459" s="177">
        <f t="shared" si="374"/>
        <v>8.9909999999999961</v>
      </c>
      <c r="O459" s="178" t="str">
        <f t="shared" si="375"/>
        <v>X</v>
      </c>
      <c r="P459" s="176">
        <f>IF(L459&gt;0,L459,0)</f>
        <v>20.979000000000003</v>
      </c>
      <c r="Q459" s="178" t="s">
        <v>0</v>
      </c>
      <c r="R459" s="176"/>
      <c r="S459" s="178" t="s">
        <v>2578</v>
      </c>
      <c r="T459" s="178" t="str">
        <f t="shared" si="376"/>
        <v>X</v>
      </c>
      <c r="U459" s="176">
        <f t="shared" si="388"/>
        <v>8.9909999999999961</v>
      </c>
      <c r="V459" s="178" t="str">
        <f t="shared" si="377"/>
        <v xml:space="preserve"> </v>
      </c>
      <c r="W459" s="176">
        <f t="shared" si="389"/>
        <v>0</v>
      </c>
      <c r="X459" s="178" t="str">
        <f t="shared" si="378"/>
        <v xml:space="preserve"> </v>
      </c>
      <c r="Y459" s="176">
        <f t="shared" si="390"/>
        <v>0</v>
      </c>
      <c r="Z459" s="178" t="s">
        <v>2581</v>
      </c>
      <c r="AA459" s="178" t="str">
        <f t="shared" si="379"/>
        <v>X</v>
      </c>
      <c r="AB459" s="176">
        <f t="shared" si="380"/>
        <v>5.18</v>
      </c>
      <c r="AC459" s="178" t="str">
        <f t="shared" si="381"/>
        <v xml:space="preserve"> </v>
      </c>
      <c r="AD459" s="176">
        <f t="shared" si="382"/>
        <v>0</v>
      </c>
      <c r="AE459" s="178" t="str">
        <f t="shared" si="383"/>
        <v xml:space="preserve"> </v>
      </c>
      <c r="AF459" s="176">
        <f t="shared" si="384"/>
        <v>0</v>
      </c>
      <c r="AG459" s="178" t="str">
        <f t="shared" si="385"/>
        <v/>
      </c>
      <c r="AH459" s="176">
        <f t="shared" si="386"/>
        <v>0</v>
      </c>
    </row>
    <row r="460" spans="2:34" ht="16.5" outlineLevel="1" x14ac:dyDescent="0.25">
      <c r="B460" s="175" t="s">
        <v>2646</v>
      </c>
      <c r="C460" s="176">
        <v>25.37</v>
      </c>
      <c r="D460" s="176">
        <v>21.11</v>
      </c>
      <c r="E460" s="194">
        <v>3</v>
      </c>
      <c r="F460" s="194">
        <v>0</v>
      </c>
      <c r="G460" s="194">
        <f t="shared" si="387"/>
        <v>3</v>
      </c>
      <c r="H460" s="176"/>
      <c r="I460" s="178" t="str">
        <f t="shared" si="369"/>
        <v>X</v>
      </c>
      <c r="J460" s="176">
        <f t="shared" si="370"/>
        <v>63.33</v>
      </c>
      <c r="K460" s="178" t="str">
        <f t="shared" si="371"/>
        <v xml:space="preserve"> </v>
      </c>
      <c r="L460" s="176">
        <f t="shared" si="372"/>
        <v>0</v>
      </c>
      <c r="M460" s="178" t="str">
        <f t="shared" si="373"/>
        <v>X</v>
      </c>
      <c r="N460" s="177">
        <f t="shared" si="374"/>
        <v>63.33</v>
      </c>
      <c r="O460" s="178" t="str">
        <f t="shared" si="375"/>
        <v xml:space="preserve"> </v>
      </c>
      <c r="P460" s="176">
        <v>1</v>
      </c>
      <c r="Q460" s="178" t="s">
        <v>0</v>
      </c>
      <c r="R460" s="176"/>
      <c r="S460" s="178" t="s">
        <v>2578</v>
      </c>
      <c r="T460" s="178" t="str">
        <f t="shared" si="376"/>
        <v>X</v>
      </c>
      <c r="U460" s="176">
        <f t="shared" si="388"/>
        <v>63.33</v>
      </c>
      <c r="V460" s="178" t="str">
        <f t="shared" si="377"/>
        <v xml:space="preserve"> </v>
      </c>
      <c r="W460" s="176">
        <f t="shared" si="389"/>
        <v>0</v>
      </c>
      <c r="X460" s="178" t="str">
        <f t="shared" si="378"/>
        <v xml:space="preserve"> </v>
      </c>
      <c r="Y460" s="176">
        <f t="shared" si="390"/>
        <v>0</v>
      </c>
      <c r="Z460" s="178" t="s">
        <v>2581</v>
      </c>
      <c r="AA460" s="178" t="str">
        <f t="shared" si="379"/>
        <v>X</v>
      </c>
      <c r="AB460" s="176">
        <f t="shared" si="380"/>
        <v>25.37</v>
      </c>
      <c r="AC460" s="178" t="str">
        <f t="shared" si="381"/>
        <v xml:space="preserve"> </v>
      </c>
      <c r="AD460" s="176">
        <f t="shared" si="382"/>
        <v>0</v>
      </c>
      <c r="AE460" s="178" t="str">
        <f t="shared" si="383"/>
        <v xml:space="preserve"> </v>
      </c>
      <c r="AF460" s="176">
        <f t="shared" si="384"/>
        <v>0</v>
      </c>
      <c r="AG460" s="178" t="str">
        <f t="shared" si="385"/>
        <v>X</v>
      </c>
      <c r="AH460" s="176">
        <f t="shared" si="386"/>
        <v>21.11</v>
      </c>
    </row>
    <row r="461" spans="2:34" ht="16.5" outlineLevel="1" x14ac:dyDescent="0.25">
      <c r="B461" s="175" t="s">
        <v>2647</v>
      </c>
      <c r="C461" s="176">
        <v>5.18</v>
      </c>
      <c r="D461" s="176">
        <v>9.99</v>
      </c>
      <c r="E461" s="194">
        <v>3</v>
      </c>
      <c r="F461" s="194">
        <v>2.1</v>
      </c>
      <c r="G461" s="194">
        <f t="shared" si="387"/>
        <v>0.89999999999999991</v>
      </c>
      <c r="H461" s="176"/>
      <c r="I461" s="178" t="str">
        <f t="shared" si="369"/>
        <v>X</v>
      </c>
      <c r="J461" s="176">
        <f t="shared" si="370"/>
        <v>29.97</v>
      </c>
      <c r="K461" s="178" t="str">
        <f t="shared" si="371"/>
        <v>X</v>
      </c>
      <c r="L461" s="176">
        <f t="shared" si="372"/>
        <v>20.979000000000003</v>
      </c>
      <c r="M461" s="178" t="str">
        <f t="shared" si="373"/>
        <v>X</v>
      </c>
      <c r="N461" s="177">
        <f t="shared" si="374"/>
        <v>8.9909999999999961</v>
      </c>
      <c r="O461" s="178" t="str">
        <f t="shared" si="375"/>
        <v>X</v>
      </c>
      <c r="P461" s="176">
        <f>IF(L461&gt;0,L461,0)</f>
        <v>20.979000000000003</v>
      </c>
      <c r="Q461" s="178" t="s">
        <v>0</v>
      </c>
      <c r="R461" s="176"/>
      <c r="S461" s="178" t="s">
        <v>2578</v>
      </c>
      <c r="T461" s="178" t="str">
        <f t="shared" si="376"/>
        <v>X</v>
      </c>
      <c r="U461" s="176">
        <f t="shared" si="388"/>
        <v>8.9909999999999961</v>
      </c>
      <c r="V461" s="178" t="str">
        <f t="shared" si="377"/>
        <v xml:space="preserve"> </v>
      </c>
      <c r="W461" s="176">
        <f t="shared" si="389"/>
        <v>0</v>
      </c>
      <c r="X461" s="178" t="str">
        <f t="shared" si="378"/>
        <v xml:space="preserve"> </v>
      </c>
      <c r="Y461" s="176">
        <f t="shared" si="390"/>
        <v>0</v>
      </c>
      <c r="Z461" s="178" t="s">
        <v>2581</v>
      </c>
      <c r="AA461" s="178" t="str">
        <f t="shared" si="379"/>
        <v>X</v>
      </c>
      <c r="AB461" s="176">
        <f t="shared" si="380"/>
        <v>5.18</v>
      </c>
      <c r="AC461" s="178" t="str">
        <f t="shared" si="381"/>
        <v xml:space="preserve"> </v>
      </c>
      <c r="AD461" s="176">
        <f t="shared" si="382"/>
        <v>0</v>
      </c>
      <c r="AE461" s="178" t="str">
        <f t="shared" si="383"/>
        <v xml:space="preserve"> </v>
      </c>
      <c r="AF461" s="176">
        <f t="shared" si="384"/>
        <v>0</v>
      </c>
      <c r="AG461" s="178" t="str">
        <f t="shared" si="385"/>
        <v/>
      </c>
      <c r="AH461" s="176">
        <f t="shared" si="386"/>
        <v>0</v>
      </c>
    </row>
    <row r="462" spans="2:34" ht="16.5" outlineLevel="1" x14ac:dyDescent="0.25">
      <c r="B462" s="175" t="s">
        <v>2648</v>
      </c>
      <c r="C462" s="176">
        <v>25.87</v>
      </c>
      <c r="D462" s="176">
        <v>21.32</v>
      </c>
      <c r="E462" s="194">
        <v>3</v>
      </c>
      <c r="F462" s="194">
        <v>0</v>
      </c>
      <c r="G462" s="194">
        <f t="shared" si="387"/>
        <v>3</v>
      </c>
      <c r="H462" s="176"/>
      <c r="I462" s="178" t="str">
        <f t="shared" si="369"/>
        <v>X</v>
      </c>
      <c r="J462" s="176">
        <f t="shared" si="370"/>
        <v>63.96</v>
      </c>
      <c r="K462" s="178" t="str">
        <f t="shared" si="371"/>
        <v xml:space="preserve"> </v>
      </c>
      <c r="L462" s="176">
        <f t="shared" si="372"/>
        <v>0</v>
      </c>
      <c r="M462" s="178" t="str">
        <f t="shared" si="373"/>
        <v>X</v>
      </c>
      <c r="N462" s="177">
        <f t="shared" si="374"/>
        <v>63.96</v>
      </c>
      <c r="O462" s="178" t="str">
        <f t="shared" si="375"/>
        <v xml:space="preserve"> </v>
      </c>
      <c r="P462" s="176">
        <v>1</v>
      </c>
      <c r="Q462" s="178" t="s">
        <v>0</v>
      </c>
      <c r="R462" s="176"/>
      <c r="S462" s="178" t="s">
        <v>2578</v>
      </c>
      <c r="T462" s="178" t="str">
        <f t="shared" si="376"/>
        <v>X</v>
      </c>
      <c r="U462" s="176">
        <f t="shared" si="388"/>
        <v>63.96</v>
      </c>
      <c r="V462" s="178" t="str">
        <f t="shared" si="377"/>
        <v xml:space="preserve"> </v>
      </c>
      <c r="W462" s="176">
        <f t="shared" si="389"/>
        <v>0</v>
      </c>
      <c r="X462" s="178" t="str">
        <f t="shared" si="378"/>
        <v xml:space="preserve"> </v>
      </c>
      <c r="Y462" s="176">
        <f t="shared" si="390"/>
        <v>0</v>
      </c>
      <c r="Z462" s="178" t="s">
        <v>2581</v>
      </c>
      <c r="AA462" s="178" t="str">
        <f t="shared" si="379"/>
        <v>X</v>
      </c>
      <c r="AB462" s="176">
        <f t="shared" si="380"/>
        <v>25.87</v>
      </c>
      <c r="AC462" s="178" t="str">
        <f t="shared" si="381"/>
        <v xml:space="preserve"> </v>
      </c>
      <c r="AD462" s="176">
        <f t="shared" si="382"/>
        <v>0</v>
      </c>
      <c r="AE462" s="178" t="str">
        <f t="shared" si="383"/>
        <v xml:space="preserve"> </v>
      </c>
      <c r="AF462" s="176">
        <f t="shared" si="384"/>
        <v>0</v>
      </c>
      <c r="AG462" s="178" t="str">
        <f t="shared" si="385"/>
        <v>X</v>
      </c>
      <c r="AH462" s="176">
        <f t="shared" si="386"/>
        <v>21.32</v>
      </c>
    </row>
    <row r="463" spans="2:34" ht="16.5" outlineLevel="1" x14ac:dyDescent="0.25">
      <c r="B463" s="175" t="s">
        <v>2649</v>
      </c>
      <c r="C463" s="176">
        <v>5.17</v>
      </c>
      <c r="D463" s="176">
        <v>9.99</v>
      </c>
      <c r="E463" s="194">
        <v>3</v>
      </c>
      <c r="F463" s="194">
        <v>2.1</v>
      </c>
      <c r="G463" s="194">
        <f t="shared" si="387"/>
        <v>0.89999999999999991</v>
      </c>
      <c r="H463" s="176"/>
      <c r="I463" s="178" t="str">
        <f t="shared" si="369"/>
        <v>X</v>
      </c>
      <c r="J463" s="176">
        <f t="shared" si="370"/>
        <v>29.97</v>
      </c>
      <c r="K463" s="178" t="str">
        <f t="shared" si="371"/>
        <v>X</v>
      </c>
      <c r="L463" s="176">
        <f t="shared" si="372"/>
        <v>20.979000000000003</v>
      </c>
      <c r="M463" s="178" t="str">
        <f t="shared" si="373"/>
        <v>X</v>
      </c>
      <c r="N463" s="177">
        <f t="shared" si="374"/>
        <v>8.9909999999999961</v>
      </c>
      <c r="O463" s="178" t="str">
        <f t="shared" si="375"/>
        <v>X</v>
      </c>
      <c r="P463" s="176">
        <f>IF(L463&gt;0,L463,0)</f>
        <v>20.979000000000003</v>
      </c>
      <c r="Q463" s="178" t="s">
        <v>0</v>
      </c>
      <c r="R463" s="176"/>
      <c r="S463" s="178" t="s">
        <v>2578</v>
      </c>
      <c r="T463" s="178" t="str">
        <f t="shared" si="376"/>
        <v>X</v>
      </c>
      <c r="U463" s="176">
        <f t="shared" si="388"/>
        <v>8.9909999999999961</v>
      </c>
      <c r="V463" s="178" t="str">
        <f t="shared" si="377"/>
        <v xml:space="preserve"> </v>
      </c>
      <c r="W463" s="176">
        <f t="shared" si="389"/>
        <v>0</v>
      </c>
      <c r="X463" s="178" t="str">
        <f t="shared" si="378"/>
        <v xml:space="preserve"> </v>
      </c>
      <c r="Y463" s="176">
        <f t="shared" si="390"/>
        <v>0</v>
      </c>
      <c r="Z463" s="178" t="s">
        <v>2581</v>
      </c>
      <c r="AA463" s="178" t="str">
        <f t="shared" si="379"/>
        <v>X</v>
      </c>
      <c r="AB463" s="176">
        <f t="shared" si="380"/>
        <v>5.17</v>
      </c>
      <c r="AC463" s="178" t="str">
        <f t="shared" si="381"/>
        <v xml:space="preserve"> </v>
      </c>
      <c r="AD463" s="176">
        <f t="shared" si="382"/>
        <v>0</v>
      </c>
      <c r="AE463" s="178" t="str">
        <f t="shared" si="383"/>
        <v xml:space="preserve"> </v>
      </c>
      <c r="AF463" s="176">
        <f t="shared" si="384"/>
        <v>0</v>
      </c>
      <c r="AG463" s="178" t="str">
        <f t="shared" si="385"/>
        <v/>
      </c>
      <c r="AH463" s="176">
        <f t="shared" si="386"/>
        <v>0</v>
      </c>
    </row>
    <row r="464" spans="2:34" ht="16.5" outlineLevel="1" x14ac:dyDescent="0.25">
      <c r="B464" s="175" t="s">
        <v>2594</v>
      </c>
      <c r="C464" s="176">
        <v>62.86</v>
      </c>
      <c r="D464" s="176">
        <v>63.1</v>
      </c>
      <c r="E464" s="194">
        <v>3</v>
      </c>
      <c r="F464" s="194">
        <v>0</v>
      </c>
      <c r="G464" s="194">
        <f t="shared" si="387"/>
        <v>3</v>
      </c>
      <c r="H464" s="176"/>
      <c r="I464" s="178" t="str">
        <f t="shared" si="369"/>
        <v>X</v>
      </c>
      <c r="J464" s="176">
        <f t="shared" si="370"/>
        <v>189.3</v>
      </c>
      <c r="K464" s="178" t="str">
        <f t="shared" si="371"/>
        <v xml:space="preserve"> </v>
      </c>
      <c r="L464" s="176">
        <f t="shared" si="372"/>
        <v>0</v>
      </c>
      <c r="M464" s="178" t="str">
        <f t="shared" si="373"/>
        <v>X</v>
      </c>
      <c r="N464" s="177">
        <f t="shared" si="374"/>
        <v>189.3</v>
      </c>
      <c r="O464" s="178" t="str">
        <f t="shared" si="375"/>
        <v xml:space="preserve"> </v>
      </c>
      <c r="P464" s="176">
        <f>IF(L464&gt;0,L464,0)</f>
        <v>0</v>
      </c>
      <c r="Q464" s="178" t="s">
        <v>0</v>
      </c>
      <c r="R464" s="176"/>
      <c r="S464" s="178" t="s">
        <v>2578</v>
      </c>
      <c r="T464" s="178" t="str">
        <f t="shared" si="376"/>
        <v>X</v>
      </c>
      <c r="U464" s="176">
        <f t="shared" si="388"/>
        <v>189.3</v>
      </c>
      <c r="V464" s="178" t="str">
        <f t="shared" si="377"/>
        <v xml:space="preserve"> </v>
      </c>
      <c r="W464" s="176">
        <f t="shared" si="389"/>
        <v>0</v>
      </c>
      <c r="X464" s="178" t="str">
        <f t="shared" si="378"/>
        <v xml:space="preserve"> </v>
      </c>
      <c r="Y464" s="176">
        <f t="shared" si="390"/>
        <v>0</v>
      </c>
      <c r="Z464" s="178" t="s">
        <v>2581</v>
      </c>
      <c r="AA464" s="178" t="str">
        <f t="shared" si="379"/>
        <v>X</v>
      </c>
      <c r="AB464" s="176">
        <f t="shared" si="380"/>
        <v>62.86</v>
      </c>
      <c r="AC464" s="178" t="str">
        <f t="shared" si="381"/>
        <v xml:space="preserve"> </v>
      </c>
      <c r="AD464" s="176">
        <f t="shared" si="382"/>
        <v>0</v>
      </c>
      <c r="AE464" s="178" t="str">
        <f t="shared" si="383"/>
        <v xml:space="preserve"> </v>
      </c>
      <c r="AF464" s="176">
        <f t="shared" si="384"/>
        <v>0</v>
      </c>
      <c r="AG464" s="178" t="str">
        <f t="shared" si="385"/>
        <v>X</v>
      </c>
      <c r="AH464" s="176">
        <f t="shared" si="386"/>
        <v>63.1</v>
      </c>
    </row>
    <row r="465" spans="2:34" ht="16.5" outlineLevel="1" x14ac:dyDescent="0.25">
      <c r="B465" s="175" t="s">
        <v>2651</v>
      </c>
      <c r="C465" s="176">
        <v>27.41</v>
      </c>
      <c r="D465" s="176">
        <v>21.75</v>
      </c>
      <c r="E465" s="194">
        <v>3</v>
      </c>
      <c r="F465" s="194">
        <v>0</v>
      </c>
      <c r="G465" s="194">
        <f t="shared" si="387"/>
        <v>3</v>
      </c>
      <c r="H465" s="176"/>
      <c r="I465" s="178" t="str">
        <f t="shared" si="369"/>
        <v>X</v>
      </c>
      <c r="J465" s="176">
        <f t="shared" si="370"/>
        <v>65.25</v>
      </c>
      <c r="K465" s="178" t="str">
        <f t="shared" si="371"/>
        <v xml:space="preserve"> </v>
      </c>
      <c r="L465" s="176">
        <f t="shared" si="372"/>
        <v>0</v>
      </c>
      <c r="M465" s="178" t="str">
        <f t="shared" si="373"/>
        <v>X</v>
      </c>
      <c r="N465" s="177">
        <f t="shared" si="374"/>
        <v>65.25</v>
      </c>
      <c r="O465" s="178" t="str">
        <f t="shared" si="375"/>
        <v xml:space="preserve"> </v>
      </c>
      <c r="P465" s="176">
        <v>1</v>
      </c>
      <c r="Q465" s="178" t="s">
        <v>0</v>
      </c>
      <c r="R465" s="176"/>
      <c r="S465" s="178" t="s">
        <v>2578</v>
      </c>
      <c r="T465" s="178" t="str">
        <f t="shared" si="376"/>
        <v>X</v>
      </c>
      <c r="U465" s="176">
        <f t="shared" si="388"/>
        <v>65.25</v>
      </c>
      <c r="V465" s="178" t="str">
        <f t="shared" si="377"/>
        <v xml:space="preserve"> </v>
      </c>
      <c r="W465" s="176">
        <f t="shared" si="389"/>
        <v>0</v>
      </c>
      <c r="X465" s="178" t="str">
        <f t="shared" si="378"/>
        <v xml:space="preserve"> </v>
      </c>
      <c r="Y465" s="176">
        <f t="shared" si="390"/>
        <v>0</v>
      </c>
      <c r="Z465" s="178" t="s">
        <v>2581</v>
      </c>
      <c r="AA465" s="178" t="str">
        <f t="shared" si="379"/>
        <v>X</v>
      </c>
      <c r="AB465" s="176">
        <f t="shared" si="380"/>
        <v>27.41</v>
      </c>
      <c r="AC465" s="178" t="str">
        <f t="shared" si="381"/>
        <v xml:space="preserve"> </v>
      </c>
      <c r="AD465" s="176">
        <f t="shared" si="382"/>
        <v>0</v>
      </c>
      <c r="AE465" s="178" t="str">
        <f t="shared" si="383"/>
        <v xml:space="preserve"> </v>
      </c>
      <c r="AF465" s="176">
        <f t="shared" si="384"/>
        <v>0</v>
      </c>
      <c r="AG465" s="178" t="str">
        <f t="shared" si="385"/>
        <v>X</v>
      </c>
      <c r="AH465" s="176">
        <f t="shared" si="386"/>
        <v>21.75</v>
      </c>
    </row>
    <row r="466" spans="2:34" ht="16.5" outlineLevel="1" x14ac:dyDescent="0.25">
      <c r="B466" s="175" t="s">
        <v>2652</v>
      </c>
      <c r="C466" s="176">
        <v>5.18</v>
      </c>
      <c r="D466" s="176">
        <v>9.99</v>
      </c>
      <c r="E466" s="194">
        <v>3</v>
      </c>
      <c r="F466" s="194">
        <v>2.1</v>
      </c>
      <c r="G466" s="194">
        <f t="shared" si="387"/>
        <v>0.89999999999999991</v>
      </c>
      <c r="H466" s="176"/>
      <c r="I466" s="178" t="str">
        <f t="shared" si="369"/>
        <v>X</v>
      </c>
      <c r="J466" s="176">
        <f t="shared" si="370"/>
        <v>29.97</v>
      </c>
      <c r="K466" s="178" t="str">
        <f t="shared" si="371"/>
        <v>X</v>
      </c>
      <c r="L466" s="176">
        <f t="shared" si="372"/>
        <v>20.979000000000003</v>
      </c>
      <c r="M466" s="178" t="str">
        <f t="shared" si="373"/>
        <v>X</v>
      </c>
      <c r="N466" s="177">
        <f t="shared" si="374"/>
        <v>8.9909999999999961</v>
      </c>
      <c r="O466" s="178" t="str">
        <f t="shared" si="375"/>
        <v>X</v>
      </c>
      <c r="P466" s="176">
        <f>IF(L466&gt;0,L466,0)</f>
        <v>20.979000000000003</v>
      </c>
      <c r="Q466" s="178" t="s">
        <v>0</v>
      </c>
      <c r="R466" s="176"/>
      <c r="S466" s="178" t="s">
        <v>2578</v>
      </c>
      <c r="T466" s="178" t="str">
        <f t="shared" si="376"/>
        <v>X</v>
      </c>
      <c r="U466" s="176">
        <f t="shared" si="388"/>
        <v>8.9909999999999961</v>
      </c>
      <c r="V466" s="178" t="str">
        <f t="shared" si="377"/>
        <v xml:space="preserve"> </v>
      </c>
      <c r="W466" s="176">
        <f t="shared" si="389"/>
        <v>0</v>
      </c>
      <c r="X466" s="178" t="str">
        <f t="shared" si="378"/>
        <v xml:space="preserve"> </v>
      </c>
      <c r="Y466" s="176">
        <f t="shared" si="390"/>
        <v>0</v>
      </c>
      <c r="Z466" s="178" t="s">
        <v>2581</v>
      </c>
      <c r="AA466" s="178" t="str">
        <f t="shared" si="379"/>
        <v>X</v>
      </c>
      <c r="AB466" s="176">
        <f t="shared" si="380"/>
        <v>5.18</v>
      </c>
      <c r="AC466" s="178" t="str">
        <f t="shared" si="381"/>
        <v xml:space="preserve"> </v>
      </c>
      <c r="AD466" s="176">
        <f t="shared" si="382"/>
        <v>0</v>
      </c>
      <c r="AE466" s="178" t="str">
        <f t="shared" si="383"/>
        <v xml:space="preserve"> </v>
      </c>
      <c r="AF466" s="176">
        <f t="shared" si="384"/>
        <v>0</v>
      </c>
      <c r="AG466" s="178" t="str">
        <f t="shared" si="385"/>
        <v/>
      </c>
      <c r="AH466" s="176">
        <f t="shared" si="386"/>
        <v>0</v>
      </c>
    </row>
    <row r="467" spans="2:34" ht="16.5" outlineLevel="1" x14ac:dyDescent="0.25">
      <c r="B467" s="175" t="s">
        <v>2678</v>
      </c>
      <c r="C467" s="176">
        <v>5.71</v>
      </c>
      <c r="D467" s="176">
        <v>10.6</v>
      </c>
      <c r="E467" s="194">
        <v>3</v>
      </c>
      <c r="F467" s="194">
        <v>2.1</v>
      </c>
      <c r="G467" s="194">
        <f t="shared" si="387"/>
        <v>0.89999999999999991</v>
      </c>
      <c r="H467" s="176"/>
      <c r="I467" s="178" t="str">
        <f t="shared" si="369"/>
        <v>X</v>
      </c>
      <c r="J467" s="176">
        <f t="shared" si="370"/>
        <v>31.799999999999997</v>
      </c>
      <c r="K467" s="178" t="str">
        <f t="shared" si="371"/>
        <v>X</v>
      </c>
      <c r="L467" s="176">
        <f t="shared" si="372"/>
        <v>22.26</v>
      </c>
      <c r="M467" s="178" t="str">
        <f t="shared" si="373"/>
        <v>X</v>
      </c>
      <c r="N467" s="177">
        <f t="shared" si="374"/>
        <v>9.5399999999999956</v>
      </c>
      <c r="O467" s="178" t="str">
        <f t="shared" si="375"/>
        <v>X</v>
      </c>
      <c r="P467" s="176">
        <f>IF(L467&gt;0,L467,0)</f>
        <v>22.26</v>
      </c>
      <c r="Q467" s="178" t="s">
        <v>0</v>
      </c>
      <c r="R467" s="176"/>
      <c r="S467" s="178" t="s">
        <v>2578</v>
      </c>
      <c r="T467" s="178" t="str">
        <f t="shared" si="376"/>
        <v>X</v>
      </c>
      <c r="U467" s="176">
        <f t="shared" si="388"/>
        <v>9.5399999999999956</v>
      </c>
      <c r="V467" s="178" t="str">
        <f t="shared" si="377"/>
        <v xml:space="preserve"> </v>
      </c>
      <c r="W467" s="176">
        <f t="shared" si="389"/>
        <v>0</v>
      </c>
      <c r="X467" s="178" t="str">
        <f t="shared" si="378"/>
        <v xml:space="preserve"> </v>
      </c>
      <c r="Y467" s="176">
        <f t="shared" si="390"/>
        <v>0</v>
      </c>
      <c r="Z467" s="178" t="s">
        <v>2581</v>
      </c>
      <c r="AA467" s="178" t="str">
        <f t="shared" si="379"/>
        <v>X</v>
      </c>
      <c r="AB467" s="176">
        <f t="shared" si="380"/>
        <v>5.71</v>
      </c>
      <c r="AC467" s="178" t="str">
        <f t="shared" si="381"/>
        <v xml:space="preserve"> </v>
      </c>
      <c r="AD467" s="176">
        <f t="shared" si="382"/>
        <v>0</v>
      </c>
      <c r="AE467" s="178" t="str">
        <f t="shared" si="383"/>
        <v xml:space="preserve"> </v>
      </c>
      <c r="AF467" s="176">
        <f t="shared" si="384"/>
        <v>0</v>
      </c>
      <c r="AG467" s="178" t="str">
        <f t="shared" si="385"/>
        <v/>
      </c>
      <c r="AH467" s="176">
        <f t="shared" si="386"/>
        <v>0</v>
      </c>
    </row>
    <row r="468" spans="2:34" ht="16.5" outlineLevel="1" x14ac:dyDescent="0.25">
      <c r="B468" s="175" t="s">
        <v>2838</v>
      </c>
      <c r="C468" s="176">
        <v>10.69</v>
      </c>
      <c r="D468" s="176">
        <v>14.12</v>
      </c>
      <c r="E468" s="194">
        <v>3</v>
      </c>
      <c r="F468" s="194">
        <v>2.1</v>
      </c>
      <c r="G468" s="194">
        <f t="shared" si="387"/>
        <v>0.89999999999999991</v>
      </c>
      <c r="H468" s="176"/>
      <c r="I468" s="178" t="str">
        <f t="shared" si="369"/>
        <v>X</v>
      </c>
      <c r="J468" s="176">
        <f t="shared" si="370"/>
        <v>42.36</v>
      </c>
      <c r="K468" s="178" t="str">
        <f t="shared" si="371"/>
        <v>X</v>
      </c>
      <c r="L468" s="176">
        <f t="shared" si="372"/>
        <v>29.652000000000001</v>
      </c>
      <c r="M468" s="178" t="str">
        <f t="shared" si="373"/>
        <v>X</v>
      </c>
      <c r="N468" s="177">
        <f t="shared" si="374"/>
        <v>12.707999999999998</v>
      </c>
      <c r="O468" s="178" t="str">
        <f t="shared" si="375"/>
        <v>X</v>
      </c>
      <c r="P468" s="176">
        <v>1</v>
      </c>
      <c r="Q468" s="178" t="s">
        <v>0</v>
      </c>
      <c r="R468" s="176"/>
      <c r="S468" s="178" t="s">
        <v>2578</v>
      </c>
      <c r="T468" s="178" t="str">
        <f t="shared" si="376"/>
        <v>X</v>
      </c>
      <c r="U468" s="176">
        <f t="shared" si="388"/>
        <v>12.707999999999998</v>
      </c>
      <c r="V468" s="178" t="str">
        <f t="shared" si="377"/>
        <v xml:space="preserve"> </v>
      </c>
      <c r="W468" s="176">
        <f t="shared" si="389"/>
        <v>0</v>
      </c>
      <c r="X468" s="178" t="str">
        <f t="shared" si="378"/>
        <v xml:space="preserve"> </v>
      </c>
      <c r="Y468" s="176">
        <f t="shared" si="390"/>
        <v>0</v>
      </c>
      <c r="Z468" s="178" t="s">
        <v>2581</v>
      </c>
      <c r="AA468" s="178" t="str">
        <f t="shared" si="379"/>
        <v>X</v>
      </c>
      <c r="AB468" s="176">
        <f t="shared" si="380"/>
        <v>10.69</v>
      </c>
      <c r="AC468" s="178" t="str">
        <f t="shared" si="381"/>
        <v xml:space="preserve"> </v>
      </c>
      <c r="AD468" s="176">
        <f t="shared" si="382"/>
        <v>0</v>
      </c>
      <c r="AE468" s="178" t="str">
        <f t="shared" si="383"/>
        <v xml:space="preserve"> </v>
      </c>
      <c r="AF468" s="176">
        <f t="shared" si="384"/>
        <v>0</v>
      </c>
      <c r="AG468" s="178" t="str">
        <f t="shared" si="385"/>
        <v/>
      </c>
      <c r="AH468" s="176">
        <f t="shared" si="386"/>
        <v>0</v>
      </c>
    </row>
    <row r="469" spans="2:34" ht="16.5" outlineLevel="1" x14ac:dyDescent="0.25">
      <c r="B469" s="175" t="s">
        <v>2655</v>
      </c>
      <c r="C469" s="176">
        <v>7.24</v>
      </c>
      <c r="D469" s="176">
        <v>10.91</v>
      </c>
      <c r="E469" s="194">
        <v>3</v>
      </c>
      <c r="F469" s="194">
        <v>0</v>
      </c>
      <c r="G469" s="194">
        <f t="shared" si="387"/>
        <v>3</v>
      </c>
      <c r="H469" s="176"/>
      <c r="I469" s="178" t="str">
        <f t="shared" si="369"/>
        <v>X</v>
      </c>
      <c r="J469" s="176">
        <f t="shared" si="370"/>
        <v>32.730000000000004</v>
      </c>
      <c r="K469" s="178" t="str">
        <f t="shared" si="371"/>
        <v xml:space="preserve"> </v>
      </c>
      <c r="L469" s="176">
        <f t="shared" si="372"/>
        <v>0</v>
      </c>
      <c r="M469" s="178" t="str">
        <f t="shared" si="373"/>
        <v>X</v>
      </c>
      <c r="N469" s="177">
        <f t="shared" si="374"/>
        <v>32.730000000000004</v>
      </c>
      <c r="O469" s="178" t="str">
        <f t="shared" si="375"/>
        <v xml:space="preserve"> </v>
      </c>
      <c r="P469" s="176">
        <f>IF(L469&gt;0,L469,0)</f>
        <v>0</v>
      </c>
      <c r="Q469" s="178" t="s">
        <v>0</v>
      </c>
      <c r="R469" s="176"/>
      <c r="S469" s="178" t="s">
        <v>2578</v>
      </c>
      <c r="T469" s="178" t="str">
        <f t="shared" si="376"/>
        <v>X</v>
      </c>
      <c r="U469" s="176">
        <f t="shared" si="388"/>
        <v>32.730000000000004</v>
      </c>
      <c r="V469" s="178" t="str">
        <f t="shared" si="377"/>
        <v xml:space="preserve"> </v>
      </c>
      <c r="W469" s="176">
        <f t="shared" si="389"/>
        <v>0</v>
      </c>
      <c r="X469" s="178" t="str">
        <f t="shared" si="378"/>
        <v xml:space="preserve"> </v>
      </c>
      <c r="Y469" s="176">
        <f t="shared" si="390"/>
        <v>0</v>
      </c>
      <c r="Z469" s="178" t="s">
        <v>2581</v>
      </c>
      <c r="AA469" s="178" t="str">
        <f t="shared" si="379"/>
        <v>X</v>
      </c>
      <c r="AB469" s="176">
        <f t="shared" si="380"/>
        <v>7.24</v>
      </c>
      <c r="AC469" s="178" t="str">
        <f t="shared" si="381"/>
        <v xml:space="preserve"> </v>
      </c>
      <c r="AD469" s="176">
        <f t="shared" si="382"/>
        <v>0</v>
      </c>
      <c r="AE469" s="178" t="str">
        <f t="shared" si="383"/>
        <v xml:space="preserve"> </v>
      </c>
      <c r="AF469" s="176">
        <f t="shared" si="384"/>
        <v>0</v>
      </c>
      <c r="AG469" s="178" t="str">
        <f t="shared" si="385"/>
        <v>X</v>
      </c>
      <c r="AH469" s="176">
        <f t="shared" si="386"/>
        <v>10.91</v>
      </c>
    </row>
    <row r="470" spans="2:34" ht="16.5" outlineLevel="1" x14ac:dyDescent="0.25">
      <c r="B470" s="175" t="s">
        <v>2822</v>
      </c>
      <c r="C470" s="176">
        <v>7.29</v>
      </c>
      <c r="D470" s="176">
        <v>10.91</v>
      </c>
      <c r="E470" s="194">
        <v>3</v>
      </c>
      <c r="F470" s="194">
        <v>0</v>
      </c>
      <c r="G470" s="194">
        <f t="shared" si="387"/>
        <v>3</v>
      </c>
      <c r="H470" s="176"/>
      <c r="I470" s="178" t="str">
        <f t="shared" si="369"/>
        <v>X</v>
      </c>
      <c r="J470" s="176">
        <f t="shared" ref="J470:J477" si="391">IF(I470="X",($D470-H470)*E470,0)</f>
        <v>32.730000000000004</v>
      </c>
      <c r="K470" s="178" t="str">
        <f t="shared" si="371"/>
        <v xml:space="preserve"> </v>
      </c>
      <c r="L470" s="176">
        <f t="shared" ref="L470:L477" si="392">IF(K470="X",($D470-H470)*F470,0)</f>
        <v>0</v>
      </c>
      <c r="M470" s="178" t="str">
        <f t="shared" si="373"/>
        <v>X</v>
      </c>
      <c r="N470" s="177">
        <f t="shared" ref="N470:N477" si="393">IF(M470="X",J470-L470,0)</f>
        <v>32.730000000000004</v>
      </c>
      <c r="O470" s="178" t="str">
        <f t="shared" si="375"/>
        <v xml:space="preserve"> </v>
      </c>
      <c r="P470" s="176">
        <f t="shared" ref="P470:P477" si="394">IF(L470&gt;0,L470,0)</f>
        <v>0</v>
      </c>
      <c r="Q470" s="178" t="s">
        <v>0</v>
      </c>
      <c r="R470" s="176"/>
      <c r="S470" s="178" t="s">
        <v>2578</v>
      </c>
      <c r="T470" s="178" t="str">
        <f t="shared" si="376"/>
        <v>X</v>
      </c>
      <c r="U470" s="176">
        <f t="shared" si="388"/>
        <v>32.730000000000004</v>
      </c>
      <c r="V470" s="178" t="str">
        <f t="shared" si="377"/>
        <v xml:space="preserve"> </v>
      </c>
      <c r="W470" s="176">
        <f t="shared" si="389"/>
        <v>0</v>
      </c>
      <c r="X470" s="178" t="str">
        <f t="shared" si="378"/>
        <v xml:space="preserve"> </v>
      </c>
      <c r="Y470" s="176">
        <f t="shared" si="390"/>
        <v>0</v>
      </c>
      <c r="Z470" s="178" t="s">
        <v>2581</v>
      </c>
      <c r="AA470" s="178" t="str">
        <f t="shared" si="379"/>
        <v>X</v>
      </c>
      <c r="AB470" s="176">
        <f t="shared" si="380"/>
        <v>7.29</v>
      </c>
      <c r="AC470" s="178" t="str">
        <f t="shared" si="381"/>
        <v xml:space="preserve"> </v>
      </c>
      <c r="AD470" s="176">
        <f t="shared" si="382"/>
        <v>0</v>
      </c>
      <c r="AE470" s="178" t="str">
        <f t="shared" si="383"/>
        <v xml:space="preserve"> </v>
      </c>
      <c r="AF470" s="176">
        <f t="shared" si="384"/>
        <v>0</v>
      </c>
      <c r="AG470" s="178" t="str">
        <f t="shared" si="385"/>
        <v>X</v>
      </c>
      <c r="AH470" s="176">
        <f t="shared" si="386"/>
        <v>10.91</v>
      </c>
    </row>
    <row r="471" spans="2:34" ht="16.5" outlineLevel="1" x14ac:dyDescent="0.25">
      <c r="B471" s="175" t="s">
        <v>2730</v>
      </c>
      <c r="C471" s="176">
        <v>14.66</v>
      </c>
      <c r="D471" s="176">
        <v>15.62</v>
      </c>
      <c r="E471" s="194">
        <v>3</v>
      </c>
      <c r="F471" s="194">
        <v>0</v>
      </c>
      <c r="G471" s="194">
        <f t="shared" si="387"/>
        <v>3</v>
      </c>
      <c r="H471" s="176">
        <v>1.56</v>
      </c>
      <c r="I471" s="178" t="str">
        <f t="shared" si="369"/>
        <v>X</v>
      </c>
      <c r="J471" s="176">
        <f t="shared" si="391"/>
        <v>42.179999999999993</v>
      </c>
      <c r="K471" s="178" t="str">
        <f t="shared" si="371"/>
        <v xml:space="preserve"> </v>
      </c>
      <c r="L471" s="176">
        <f t="shared" si="392"/>
        <v>0</v>
      </c>
      <c r="M471" s="178" t="str">
        <f t="shared" si="373"/>
        <v>X</v>
      </c>
      <c r="N471" s="177">
        <f t="shared" si="393"/>
        <v>42.179999999999993</v>
      </c>
      <c r="O471" s="178" t="str">
        <f t="shared" si="375"/>
        <v xml:space="preserve"> </v>
      </c>
      <c r="P471" s="176">
        <v>1</v>
      </c>
      <c r="Q471" s="178" t="s">
        <v>0</v>
      </c>
      <c r="R471" s="176"/>
      <c r="S471" s="178" t="s">
        <v>2578</v>
      </c>
      <c r="T471" s="178" t="str">
        <f t="shared" si="376"/>
        <v>X</v>
      </c>
      <c r="U471" s="176">
        <f t="shared" si="388"/>
        <v>42.179999999999993</v>
      </c>
      <c r="V471" s="178" t="str">
        <f t="shared" si="377"/>
        <v xml:space="preserve"> </v>
      </c>
      <c r="W471" s="176">
        <f t="shared" si="389"/>
        <v>0</v>
      </c>
      <c r="X471" s="178" t="str">
        <f t="shared" si="378"/>
        <v xml:space="preserve"> </v>
      </c>
      <c r="Y471" s="176">
        <f t="shared" si="390"/>
        <v>0</v>
      </c>
      <c r="Z471" s="178" t="s">
        <v>2582</v>
      </c>
      <c r="AA471" s="178" t="str">
        <f t="shared" si="379"/>
        <v xml:space="preserve"> </v>
      </c>
      <c r="AB471" s="176">
        <f t="shared" si="380"/>
        <v>0</v>
      </c>
      <c r="AC471" s="178" t="str">
        <f t="shared" si="381"/>
        <v>X</v>
      </c>
      <c r="AD471" s="176">
        <f t="shared" si="382"/>
        <v>14.66</v>
      </c>
      <c r="AE471" s="178" t="str">
        <f t="shared" si="383"/>
        <v xml:space="preserve"> </v>
      </c>
      <c r="AF471" s="176">
        <f t="shared" si="384"/>
        <v>0</v>
      </c>
      <c r="AG471" s="178" t="str">
        <f t="shared" si="385"/>
        <v>X</v>
      </c>
      <c r="AH471" s="176">
        <f t="shared" si="386"/>
        <v>14.059999999999999</v>
      </c>
    </row>
    <row r="472" spans="2:34" ht="16.5" outlineLevel="1" x14ac:dyDescent="0.25">
      <c r="B472" s="175" t="s">
        <v>2666</v>
      </c>
      <c r="C472" s="176">
        <v>4.0999999999999996</v>
      </c>
      <c r="D472" s="176">
        <v>8.6999999999999993</v>
      </c>
      <c r="E472" s="194">
        <v>3</v>
      </c>
      <c r="F472" s="194">
        <v>2.1</v>
      </c>
      <c r="G472" s="194">
        <f t="shared" si="387"/>
        <v>0.89999999999999991</v>
      </c>
      <c r="H472" s="176"/>
      <c r="I472" s="178" t="str">
        <f t="shared" si="369"/>
        <v>X</v>
      </c>
      <c r="J472" s="176">
        <f t="shared" si="391"/>
        <v>26.099999999999998</v>
      </c>
      <c r="K472" s="178" t="str">
        <f t="shared" si="371"/>
        <v>X</v>
      </c>
      <c r="L472" s="176">
        <f t="shared" si="392"/>
        <v>18.27</v>
      </c>
      <c r="M472" s="178" t="str">
        <f t="shared" si="373"/>
        <v>X</v>
      </c>
      <c r="N472" s="177">
        <f t="shared" si="393"/>
        <v>7.8299999999999983</v>
      </c>
      <c r="O472" s="178" t="str">
        <f t="shared" si="375"/>
        <v>X</v>
      </c>
      <c r="P472" s="176">
        <f t="shared" si="394"/>
        <v>18.27</v>
      </c>
      <c r="Q472" s="178" t="s">
        <v>0</v>
      </c>
      <c r="R472" s="176"/>
      <c r="S472" s="178" t="s">
        <v>2578</v>
      </c>
      <c r="T472" s="178" t="str">
        <f t="shared" si="376"/>
        <v>X</v>
      </c>
      <c r="U472" s="176">
        <f t="shared" si="388"/>
        <v>7.8299999999999983</v>
      </c>
      <c r="V472" s="178" t="str">
        <f t="shared" si="377"/>
        <v xml:space="preserve"> </v>
      </c>
      <c r="W472" s="176">
        <f t="shared" si="389"/>
        <v>0</v>
      </c>
      <c r="X472" s="178" t="str">
        <f t="shared" si="378"/>
        <v xml:space="preserve"> </v>
      </c>
      <c r="Y472" s="176">
        <f t="shared" si="390"/>
        <v>0</v>
      </c>
      <c r="Z472" s="178" t="s">
        <v>2581</v>
      </c>
      <c r="AA472" s="178" t="str">
        <f t="shared" si="379"/>
        <v>X</v>
      </c>
      <c r="AB472" s="176">
        <f t="shared" si="380"/>
        <v>4.0999999999999996</v>
      </c>
      <c r="AC472" s="178" t="str">
        <f t="shared" si="381"/>
        <v xml:space="preserve"> </v>
      </c>
      <c r="AD472" s="176">
        <f t="shared" si="382"/>
        <v>0</v>
      </c>
      <c r="AE472" s="178" t="str">
        <f t="shared" si="383"/>
        <v xml:space="preserve"> </v>
      </c>
      <c r="AF472" s="176">
        <f t="shared" si="384"/>
        <v>0</v>
      </c>
      <c r="AG472" s="178" t="str">
        <f t="shared" si="385"/>
        <v/>
      </c>
      <c r="AH472" s="176">
        <f t="shared" si="386"/>
        <v>0</v>
      </c>
    </row>
    <row r="473" spans="2:34" ht="16.5" outlineLevel="1" x14ac:dyDescent="0.25">
      <c r="B473" s="175" t="s">
        <v>2591</v>
      </c>
      <c r="C473" s="176">
        <v>3.15</v>
      </c>
      <c r="D473" s="176">
        <v>7.1</v>
      </c>
      <c r="E473" s="194">
        <v>3</v>
      </c>
      <c r="F473" s="194">
        <v>2.1</v>
      </c>
      <c r="G473" s="194">
        <f t="shared" si="387"/>
        <v>0.89999999999999991</v>
      </c>
      <c r="H473" s="176"/>
      <c r="I473" s="178" t="str">
        <f t="shared" si="369"/>
        <v>X</v>
      </c>
      <c r="J473" s="176">
        <f t="shared" si="391"/>
        <v>21.299999999999997</v>
      </c>
      <c r="K473" s="178" t="str">
        <f t="shared" si="371"/>
        <v>X</v>
      </c>
      <c r="L473" s="176">
        <f t="shared" si="392"/>
        <v>14.91</v>
      </c>
      <c r="M473" s="178" t="str">
        <f t="shared" si="373"/>
        <v>X</v>
      </c>
      <c r="N473" s="177">
        <f t="shared" si="393"/>
        <v>6.389999999999997</v>
      </c>
      <c r="O473" s="178" t="str">
        <f t="shared" si="375"/>
        <v>X</v>
      </c>
      <c r="P473" s="176">
        <f t="shared" si="394"/>
        <v>14.91</v>
      </c>
      <c r="Q473" s="178" t="s">
        <v>0</v>
      </c>
      <c r="R473" s="176"/>
      <c r="S473" s="178" t="s">
        <v>2578</v>
      </c>
      <c r="T473" s="178" t="str">
        <f t="shared" si="376"/>
        <v>X</v>
      </c>
      <c r="U473" s="176">
        <f t="shared" si="388"/>
        <v>6.389999999999997</v>
      </c>
      <c r="V473" s="178" t="str">
        <f t="shared" si="377"/>
        <v xml:space="preserve"> </v>
      </c>
      <c r="W473" s="176">
        <f t="shared" si="389"/>
        <v>0</v>
      </c>
      <c r="X473" s="178" t="str">
        <f t="shared" si="378"/>
        <v xml:space="preserve"> </v>
      </c>
      <c r="Y473" s="176">
        <f t="shared" si="390"/>
        <v>0</v>
      </c>
      <c r="Z473" s="178" t="s">
        <v>2581</v>
      </c>
      <c r="AA473" s="178" t="str">
        <f t="shared" si="379"/>
        <v>X</v>
      </c>
      <c r="AB473" s="176">
        <f t="shared" si="380"/>
        <v>3.15</v>
      </c>
      <c r="AC473" s="178" t="str">
        <f t="shared" si="381"/>
        <v xml:space="preserve"> </v>
      </c>
      <c r="AD473" s="176">
        <f t="shared" si="382"/>
        <v>0</v>
      </c>
      <c r="AE473" s="178" t="str">
        <f t="shared" si="383"/>
        <v xml:space="preserve"> </v>
      </c>
      <c r="AF473" s="176">
        <f t="shared" si="384"/>
        <v>0</v>
      </c>
      <c r="AG473" s="178" t="str">
        <f t="shared" si="385"/>
        <v/>
      </c>
      <c r="AH473" s="176">
        <f t="shared" si="386"/>
        <v>0</v>
      </c>
    </row>
    <row r="474" spans="2:34" ht="16.5" outlineLevel="1" x14ac:dyDescent="0.25">
      <c r="B474" s="175" t="s">
        <v>2657</v>
      </c>
      <c r="C474" s="176">
        <v>27.96</v>
      </c>
      <c r="D474" s="176">
        <v>22.01</v>
      </c>
      <c r="E474" s="194">
        <v>3</v>
      </c>
      <c r="F474" s="194">
        <v>0</v>
      </c>
      <c r="G474" s="194">
        <f t="shared" si="387"/>
        <v>3</v>
      </c>
      <c r="H474" s="176"/>
      <c r="I474" s="178" t="str">
        <f t="shared" si="369"/>
        <v>X</v>
      </c>
      <c r="J474" s="176">
        <f t="shared" si="391"/>
        <v>66.03</v>
      </c>
      <c r="K474" s="178" t="str">
        <f t="shared" si="371"/>
        <v xml:space="preserve"> </v>
      </c>
      <c r="L474" s="176">
        <f t="shared" si="392"/>
        <v>0</v>
      </c>
      <c r="M474" s="178" t="str">
        <f t="shared" si="373"/>
        <v>X</v>
      </c>
      <c r="N474" s="177">
        <f t="shared" si="393"/>
        <v>66.03</v>
      </c>
      <c r="O474" s="178" t="str">
        <f t="shared" si="375"/>
        <v xml:space="preserve"> </v>
      </c>
      <c r="P474" s="176">
        <v>1</v>
      </c>
      <c r="Q474" s="178" t="s">
        <v>0</v>
      </c>
      <c r="R474" s="176"/>
      <c r="S474" s="178" t="s">
        <v>2578</v>
      </c>
      <c r="T474" s="178" t="str">
        <f t="shared" si="376"/>
        <v>X</v>
      </c>
      <c r="U474" s="176">
        <f t="shared" si="388"/>
        <v>66.03</v>
      </c>
      <c r="V474" s="178" t="str">
        <f t="shared" si="377"/>
        <v xml:space="preserve"> </v>
      </c>
      <c r="W474" s="176">
        <f t="shared" si="389"/>
        <v>0</v>
      </c>
      <c r="X474" s="178" t="str">
        <f t="shared" si="378"/>
        <v xml:space="preserve"> </v>
      </c>
      <c r="Y474" s="176">
        <f t="shared" si="390"/>
        <v>0</v>
      </c>
      <c r="Z474" s="178" t="s">
        <v>2581</v>
      </c>
      <c r="AA474" s="178" t="str">
        <f t="shared" si="379"/>
        <v>X</v>
      </c>
      <c r="AB474" s="176">
        <f t="shared" si="380"/>
        <v>27.96</v>
      </c>
      <c r="AC474" s="178" t="str">
        <f t="shared" si="381"/>
        <v xml:space="preserve"> </v>
      </c>
      <c r="AD474" s="176">
        <f t="shared" si="382"/>
        <v>0</v>
      </c>
      <c r="AE474" s="178" t="str">
        <f t="shared" si="383"/>
        <v xml:space="preserve"> </v>
      </c>
      <c r="AF474" s="176">
        <f t="shared" si="384"/>
        <v>0</v>
      </c>
      <c r="AG474" s="178" t="str">
        <f t="shared" si="385"/>
        <v>X</v>
      </c>
      <c r="AH474" s="176">
        <f t="shared" si="386"/>
        <v>22.01</v>
      </c>
    </row>
    <row r="475" spans="2:34" ht="16.5" outlineLevel="1" x14ac:dyDescent="0.25">
      <c r="B475" s="175" t="s">
        <v>2658</v>
      </c>
      <c r="C475" s="176">
        <v>5.12</v>
      </c>
      <c r="D475" s="176">
        <v>9.9499999999999993</v>
      </c>
      <c r="E475" s="194">
        <v>3</v>
      </c>
      <c r="F475" s="194">
        <v>2.1</v>
      </c>
      <c r="G475" s="194">
        <f t="shared" si="387"/>
        <v>0.89999999999999991</v>
      </c>
      <c r="H475" s="176"/>
      <c r="I475" s="178" t="str">
        <f t="shared" si="369"/>
        <v>X</v>
      </c>
      <c r="J475" s="176">
        <f t="shared" si="391"/>
        <v>29.849999999999998</v>
      </c>
      <c r="K475" s="178" t="str">
        <f t="shared" si="371"/>
        <v>X</v>
      </c>
      <c r="L475" s="176">
        <f t="shared" si="392"/>
        <v>20.895</v>
      </c>
      <c r="M475" s="178" t="str">
        <f t="shared" si="373"/>
        <v>X</v>
      </c>
      <c r="N475" s="177">
        <f t="shared" si="393"/>
        <v>8.9549999999999983</v>
      </c>
      <c r="O475" s="178" t="str">
        <f t="shared" si="375"/>
        <v>X</v>
      </c>
      <c r="P475" s="176">
        <f t="shared" si="394"/>
        <v>20.895</v>
      </c>
      <c r="Q475" s="178" t="s">
        <v>0</v>
      </c>
      <c r="R475" s="176"/>
      <c r="S475" s="178" t="s">
        <v>2578</v>
      </c>
      <c r="T475" s="178" t="str">
        <f t="shared" si="376"/>
        <v>X</v>
      </c>
      <c r="U475" s="176">
        <f t="shared" si="388"/>
        <v>8.9549999999999983</v>
      </c>
      <c r="V475" s="178" t="str">
        <f t="shared" si="377"/>
        <v xml:space="preserve"> </v>
      </c>
      <c r="W475" s="176">
        <f t="shared" si="389"/>
        <v>0</v>
      </c>
      <c r="X475" s="178" t="str">
        <f t="shared" si="378"/>
        <v xml:space="preserve"> </v>
      </c>
      <c r="Y475" s="176">
        <f t="shared" si="390"/>
        <v>0</v>
      </c>
      <c r="Z475" s="178" t="s">
        <v>2581</v>
      </c>
      <c r="AA475" s="178" t="str">
        <f t="shared" si="379"/>
        <v>X</v>
      </c>
      <c r="AB475" s="176">
        <f t="shared" si="380"/>
        <v>5.12</v>
      </c>
      <c r="AC475" s="178" t="str">
        <f t="shared" si="381"/>
        <v xml:space="preserve"> </v>
      </c>
      <c r="AD475" s="176">
        <f t="shared" si="382"/>
        <v>0</v>
      </c>
      <c r="AE475" s="178" t="str">
        <f t="shared" si="383"/>
        <v xml:space="preserve"> </v>
      </c>
      <c r="AF475" s="176">
        <f t="shared" si="384"/>
        <v>0</v>
      </c>
      <c r="AG475" s="178" t="str">
        <f t="shared" si="385"/>
        <v/>
      </c>
      <c r="AH475" s="176">
        <f t="shared" si="386"/>
        <v>0</v>
      </c>
    </row>
    <row r="476" spans="2:34" ht="16.5" outlineLevel="1" x14ac:dyDescent="0.25">
      <c r="B476" s="175" t="s">
        <v>2594</v>
      </c>
      <c r="C476" s="176">
        <v>29.91</v>
      </c>
      <c r="D476" s="176">
        <v>31.33</v>
      </c>
      <c r="E476" s="194">
        <v>3</v>
      </c>
      <c r="F476" s="194">
        <v>0</v>
      </c>
      <c r="G476" s="194">
        <f t="shared" si="387"/>
        <v>3</v>
      </c>
      <c r="H476" s="176"/>
      <c r="I476" s="178" t="str">
        <f t="shared" si="369"/>
        <v>X</v>
      </c>
      <c r="J476" s="176">
        <f t="shared" si="391"/>
        <v>93.99</v>
      </c>
      <c r="K476" s="178" t="str">
        <f t="shared" si="371"/>
        <v xml:space="preserve"> </v>
      </c>
      <c r="L476" s="176">
        <f t="shared" si="392"/>
        <v>0</v>
      </c>
      <c r="M476" s="178" t="str">
        <f t="shared" si="373"/>
        <v>X</v>
      </c>
      <c r="N476" s="177">
        <f t="shared" si="393"/>
        <v>93.99</v>
      </c>
      <c r="O476" s="178" t="str">
        <f t="shared" si="375"/>
        <v xml:space="preserve"> </v>
      </c>
      <c r="P476" s="176">
        <f t="shared" si="394"/>
        <v>0</v>
      </c>
      <c r="Q476" s="178" t="s">
        <v>0</v>
      </c>
      <c r="R476" s="176"/>
      <c r="S476" s="178" t="s">
        <v>2578</v>
      </c>
      <c r="T476" s="178" t="str">
        <f t="shared" si="376"/>
        <v>X</v>
      </c>
      <c r="U476" s="176">
        <f t="shared" si="388"/>
        <v>93.99</v>
      </c>
      <c r="V476" s="178" t="str">
        <f t="shared" si="377"/>
        <v xml:space="preserve"> </v>
      </c>
      <c r="W476" s="176">
        <f t="shared" si="389"/>
        <v>0</v>
      </c>
      <c r="X476" s="178" t="str">
        <f t="shared" si="378"/>
        <v xml:space="preserve"> </v>
      </c>
      <c r="Y476" s="176">
        <f t="shared" si="390"/>
        <v>0</v>
      </c>
      <c r="Z476" s="178" t="s">
        <v>2582</v>
      </c>
      <c r="AA476" s="178" t="str">
        <f t="shared" si="379"/>
        <v xml:space="preserve"> </v>
      </c>
      <c r="AB476" s="176">
        <f t="shared" si="380"/>
        <v>0</v>
      </c>
      <c r="AC476" s="178" t="str">
        <f t="shared" si="381"/>
        <v>X</v>
      </c>
      <c r="AD476" s="176">
        <f t="shared" si="382"/>
        <v>29.91</v>
      </c>
      <c r="AE476" s="178" t="str">
        <f t="shared" si="383"/>
        <v xml:space="preserve"> </v>
      </c>
      <c r="AF476" s="176">
        <f t="shared" si="384"/>
        <v>0</v>
      </c>
      <c r="AG476" s="178" t="str">
        <f t="shared" si="385"/>
        <v>X</v>
      </c>
      <c r="AH476" s="176">
        <f t="shared" si="386"/>
        <v>31.33</v>
      </c>
    </row>
    <row r="477" spans="2:34" ht="16.5" outlineLevel="1" x14ac:dyDescent="0.25">
      <c r="B477" s="175" t="s">
        <v>2824</v>
      </c>
      <c r="C477" s="176">
        <v>12.66</v>
      </c>
      <c r="D477" s="176">
        <v>14.32</v>
      </c>
      <c r="E477" s="194">
        <v>3</v>
      </c>
      <c r="F477" s="194">
        <v>0</v>
      </c>
      <c r="G477" s="194">
        <f t="shared" si="387"/>
        <v>3</v>
      </c>
      <c r="H477" s="176">
        <v>3.1</v>
      </c>
      <c r="I477" s="178" t="str">
        <f t="shared" si="369"/>
        <v>X</v>
      </c>
      <c r="J477" s="176">
        <f t="shared" si="391"/>
        <v>33.660000000000004</v>
      </c>
      <c r="K477" s="178" t="str">
        <f t="shared" si="371"/>
        <v xml:space="preserve"> </v>
      </c>
      <c r="L477" s="176">
        <f t="shared" si="392"/>
        <v>0</v>
      </c>
      <c r="M477" s="178" t="str">
        <f t="shared" si="373"/>
        <v>X</v>
      </c>
      <c r="N477" s="177">
        <f t="shared" si="393"/>
        <v>33.660000000000004</v>
      </c>
      <c r="O477" s="178" t="str">
        <f t="shared" si="375"/>
        <v xml:space="preserve"> </v>
      </c>
      <c r="P477" s="176">
        <f t="shared" si="394"/>
        <v>0</v>
      </c>
      <c r="Q477" s="178" t="s">
        <v>0</v>
      </c>
      <c r="R477" s="176"/>
      <c r="S477" s="178" t="s">
        <v>2578</v>
      </c>
      <c r="T477" s="178" t="str">
        <f t="shared" si="376"/>
        <v>X</v>
      </c>
      <c r="U477" s="176">
        <f t="shared" si="388"/>
        <v>33.660000000000004</v>
      </c>
      <c r="V477" s="178" t="str">
        <f t="shared" si="377"/>
        <v xml:space="preserve"> </v>
      </c>
      <c r="W477" s="176">
        <f t="shared" si="389"/>
        <v>0</v>
      </c>
      <c r="X477" s="178" t="str">
        <f t="shared" si="378"/>
        <v xml:space="preserve"> </v>
      </c>
      <c r="Y477" s="176">
        <f t="shared" si="390"/>
        <v>0</v>
      </c>
      <c r="Z477" s="178" t="s">
        <v>2581</v>
      </c>
      <c r="AA477" s="178" t="str">
        <f t="shared" si="379"/>
        <v>X</v>
      </c>
      <c r="AB477" s="176">
        <f t="shared" si="380"/>
        <v>12.66</v>
      </c>
      <c r="AC477" s="178" t="str">
        <f t="shared" si="381"/>
        <v xml:space="preserve"> </v>
      </c>
      <c r="AD477" s="176">
        <f t="shared" si="382"/>
        <v>0</v>
      </c>
      <c r="AE477" s="178" t="str">
        <f t="shared" si="383"/>
        <v xml:space="preserve"> </v>
      </c>
      <c r="AF477" s="176">
        <f t="shared" si="384"/>
        <v>0</v>
      </c>
      <c r="AG477" s="178" t="str">
        <f t="shared" si="385"/>
        <v>X</v>
      </c>
      <c r="AH477" s="176">
        <f t="shared" si="386"/>
        <v>11.22</v>
      </c>
    </row>
    <row r="478" spans="2:34" ht="16.5" x14ac:dyDescent="0.25">
      <c r="B478" s="182"/>
      <c r="C478" s="185"/>
      <c r="D478" s="185"/>
      <c r="E478" s="185"/>
      <c r="F478" s="185"/>
      <c r="G478" s="185"/>
      <c r="H478" s="185"/>
      <c r="I478" s="184"/>
      <c r="J478" s="185"/>
      <c r="K478" s="184"/>
      <c r="L478" s="185"/>
      <c r="M478" s="184"/>
      <c r="N478" s="185"/>
      <c r="O478" s="201"/>
      <c r="P478" s="185"/>
      <c r="Q478" s="184"/>
      <c r="R478" s="189"/>
      <c r="S478" s="185"/>
      <c r="T478" s="184"/>
      <c r="U478" s="185"/>
      <c r="V478" s="184"/>
      <c r="W478" s="185"/>
      <c r="X478" s="184"/>
      <c r="Y478" s="189"/>
      <c r="Z478" s="185"/>
      <c r="AA478" s="184"/>
      <c r="AB478" s="185"/>
      <c r="AC478" s="184"/>
      <c r="AD478" s="185"/>
      <c r="AE478" s="184"/>
      <c r="AF478" s="189"/>
      <c r="AG478" s="184"/>
      <c r="AH478" s="189"/>
    </row>
    <row r="479" spans="2:34" ht="16.5" x14ac:dyDescent="0.25">
      <c r="B479" s="929" t="s">
        <v>2839</v>
      </c>
      <c r="C479" s="930"/>
      <c r="D479" s="930"/>
      <c r="E479" s="930"/>
      <c r="F479" s="930"/>
      <c r="G479" s="930"/>
      <c r="H479" s="931"/>
      <c r="I479" s="190" t="s">
        <v>2586</v>
      </c>
      <c r="J479" s="191">
        <f>SUBTOTAL(9,J480:J501)</f>
        <v>1019.7900000000001</v>
      </c>
      <c r="K479" s="192" t="s">
        <v>2586</v>
      </c>
      <c r="L479" s="191">
        <f>SUBTOTAL(9,L480:L501)</f>
        <v>166.04700000000003</v>
      </c>
      <c r="M479" s="190" t="s">
        <v>2586</v>
      </c>
      <c r="N479" s="200">
        <f>SUBTOTAL(9,N480:N501)</f>
        <v>853.74299999999982</v>
      </c>
      <c r="O479" s="190" t="s">
        <v>2586</v>
      </c>
      <c r="P479" s="191">
        <f>SUBTOTAL(9,P480:P501)</f>
        <v>174.047</v>
      </c>
      <c r="Q479" s="190" t="s">
        <v>2586</v>
      </c>
      <c r="R479" s="191">
        <f>SUBTOTAL(9,R480:R501)</f>
        <v>0</v>
      </c>
      <c r="S479" s="191"/>
      <c r="T479" s="190" t="s">
        <v>2586</v>
      </c>
      <c r="U479" s="200">
        <f>SUBTOTAL(9,U480:U501)</f>
        <v>790.8929999999998</v>
      </c>
      <c r="V479" s="190" t="s">
        <v>2586</v>
      </c>
      <c r="W479" s="191">
        <f>SUBTOTAL(9,W480:W501)</f>
        <v>0</v>
      </c>
      <c r="X479" s="190" t="s">
        <v>2586</v>
      </c>
      <c r="Y479" s="191">
        <f>SUBTOTAL(9,Y480:Y501)</f>
        <v>62.849999999999994</v>
      </c>
      <c r="Z479" s="191"/>
      <c r="AA479" s="190" t="s">
        <v>2586</v>
      </c>
      <c r="AB479" s="200">
        <f>SUBTOTAL(9,AB480:AB501)</f>
        <v>210.26</v>
      </c>
      <c r="AC479" s="190" t="s">
        <v>2586</v>
      </c>
      <c r="AD479" s="191">
        <f>SUBTOTAL(9,AD480:AD501)</f>
        <v>75.38</v>
      </c>
      <c r="AE479" s="190" t="s">
        <v>2586</v>
      </c>
      <c r="AF479" s="191">
        <f>SUBTOTAL(9,AF480:AF501)</f>
        <v>19.02</v>
      </c>
      <c r="AG479" s="190" t="s">
        <v>2586</v>
      </c>
      <c r="AH479" s="191">
        <f>SUBTOTAL(9,AH480:AH501)</f>
        <v>260.86</v>
      </c>
    </row>
    <row r="480" spans="2:34" ht="16.5" outlineLevel="1" x14ac:dyDescent="0.25">
      <c r="B480" s="175" t="s">
        <v>2642</v>
      </c>
      <c r="C480" s="176">
        <v>25.32</v>
      </c>
      <c r="D480" s="176">
        <v>21.07</v>
      </c>
      <c r="E480" s="194">
        <v>3</v>
      </c>
      <c r="F480" s="194">
        <v>0</v>
      </c>
      <c r="G480" s="194">
        <f>E480-F480</f>
        <v>3</v>
      </c>
      <c r="H480" s="176"/>
      <c r="I480" s="178" t="str">
        <f t="shared" ref="I480:I501" si="395">IF($E480&gt;0,"X"," ")</f>
        <v>X</v>
      </c>
      <c r="J480" s="176">
        <f t="shared" ref="J480:J501" si="396">IF(I480="X",($D480-H480)*E480,0)</f>
        <v>63.21</v>
      </c>
      <c r="K480" s="178" t="str">
        <f t="shared" ref="K480:K501" si="397">IF($F480&gt;0,"X"," ")</f>
        <v xml:space="preserve"> </v>
      </c>
      <c r="L480" s="176">
        <f t="shared" ref="L480:L501" si="398">IF(K480="X",($D480-H480)*F480,0)</f>
        <v>0</v>
      </c>
      <c r="M480" s="178" t="str">
        <f t="shared" ref="M480:M501" si="399">IF($E480&gt;0,"X"," ")</f>
        <v>X</v>
      </c>
      <c r="N480" s="177">
        <f t="shared" ref="N480:N501" si="400">IF(M480="X",J480-L480,0)</f>
        <v>63.21</v>
      </c>
      <c r="O480" s="178" t="str">
        <f t="shared" ref="O480:O501" si="401">IF($F480&gt;0,"X"," ")</f>
        <v xml:space="preserve"> </v>
      </c>
      <c r="P480" s="176">
        <v>1</v>
      </c>
      <c r="Q480" s="178" t="s">
        <v>0</v>
      </c>
      <c r="R480" s="176"/>
      <c r="S480" s="178" t="s">
        <v>2578</v>
      </c>
      <c r="T480" s="178" t="str">
        <f t="shared" ref="T480:T501" si="402">IF($S480="ACRÍLICA","X"," ")</f>
        <v>X</v>
      </c>
      <c r="U480" s="176">
        <f>IF(T480="X",$N480,0)</f>
        <v>63.21</v>
      </c>
      <c r="V480" s="178" t="str">
        <f t="shared" ref="V480:V501" si="403">IF($S480="EPÓXI","X"," ")</f>
        <v xml:space="preserve"> </v>
      </c>
      <c r="W480" s="176">
        <f>IF(V480="X",$N480,0)</f>
        <v>0</v>
      </c>
      <c r="X480" s="178" t="str">
        <f t="shared" ref="X480:X501" si="404">IF($S480="TEXTURA","X"," ")</f>
        <v xml:space="preserve"> </v>
      </c>
      <c r="Y480" s="176">
        <f>IF(X480="X",$N480,0)</f>
        <v>0</v>
      </c>
      <c r="Z480" s="178" t="s">
        <v>2581</v>
      </c>
      <c r="AA480" s="178" t="str">
        <f t="shared" ref="AA480:AA501" si="405">IF($Z480="ACARTONADO","X"," ")</f>
        <v>X</v>
      </c>
      <c r="AB480" s="176">
        <f t="shared" ref="AB480:AB501" si="406">IF(AA480="X",$C480,0)</f>
        <v>25.32</v>
      </c>
      <c r="AC480" s="178" t="str">
        <f t="shared" ref="AC480:AC501" si="407">IF($Z480="MINERAL","X"," ")</f>
        <v xml:space="preserve"> </v>
      </c>
      <c r="AD480" s="176">
        <f t="shared" ref="AD480:AD501" si="408">IF(AC480="X",$C480,0)</f>
        <v>0</v>
      </c>
      <c r="AE480" s="178" t="str">
        <f t="shared" ref="AE480:AE501" si="409">IF($Z480="LAJE","X"," ")</f>
        <v xml:space="preserve"> </v>
      </c>
      <c r="AF480" s="176">
        <f t="shared" ref="AF480:AF501" si="410">IF(AE480="X",$C480,0)</f>
        <v>0</v>
      </c>
      <c r="AG480" s="178" t="str">
        <f t="shared" ref="AG480:AG501" si="411">IF(K480="X","","X")</f>
        <v>X</v>
      </c>
      <c r="AH480" s="176">
        <f t="shared" ref="AH480:AH501" si="412">IF(AG480="X",$D480-H480,0)</f>
        <v>21.07</v>
      </c>
    </row>
    <row r="481" spans="2:34" ht="16.5" outlineLevel="1" x14ac:dyDescent="0.25">
      <c r="B481" s="175" t="s">
        <v>2643</v>
      </c>
      <c r="C481" s="176">
        <v>5.17</v>
      </c>
      <c r="D481" s="176">
        <v>9.99</v>
      </c>
      <c r="E481" s="194">
        <v>3</v>
      </c>
      <c r="F481" s="194">
        <v>2.1</v>
      </c>
      <c r="G481" s="194">
        <f t="shared" ref="G481:G501" si="413">E481-F481</f>
        <v>0.89999999999999991</v>
      </c>
      <c r="H481" s="176"/>
      <c r="I481" s="178" t="str">
        <f t="shared" si="395"/>
        <v>X</v>
      </c>
      <c r="J481" s="176">
        <f t="shared" si="396"/>
        <v>29.97</v>
      </c>
      <c r="K481" s="178" t="str">
        <f t="shared" si="397"/>
        <v>X</v>
      </c>
      <c r="L481" s="176">
        <f t="shared" si="398"/>
        <v>20.979000000000003</v>
      </c>
      <c r="M481" s="178" t="str">
        <f t="shared" si="399"/>
        <v>X</v>
      </c>
      <c r="N481" s="177">
        <f t="shared" si="400"/>
        <v>8.9909999999999961</v>
      </c>
      <c r="O481" s="178" t="str">
        <f t="shared" si="401"/>
        <v>X</v>
      </c>
      <c r="P481" s="176">
        <f t="shared" ref="P481:P501" si="414">IF(L481&gt;0,L481,0)</f>
        <v>20.979000000000003</v>
      </c>
      <c r="Q481" s="178" t="s">
        <v>0</v>
      </c>
      <c r="R481" s="176"/>
      <c r="S481" s="178" t="s">
        <v>2578</v>
      </c>
      <c r="T481" s="178" t="str">
        <f t="shared" si="402"/>
        <v>X</v>
      </c>
      <c r="U481" s="176">
        <f t="shared" ref="U481:U501" si="415">IF(T481="X",$N481,0)</f>
        <v>8.9909999999999961</v>
      </c>
      <c r="V481" s="178" t="str">
        <f t="shared" si="403"/>
        <v xml:space="preserve"> </v>
      </c>
      <c r="W481" s="176">
        <f t="shared" ref="W481:W501" si="416">IF(V481="X",$N481,0)</f>
        <v>0</v>
      </c>
      <c r="X481" s="178" t="str">
        <f t="shared" si="404"/>
        <v xml:space="preserve"> </v>
      </c>
      <c r="Y481" s="176">
        <f t="shared" ref="Y481:Y501" si="417">IF(X481="X",$N481,0)</f>
        <v>0</v>
      </c>
      <c r="Z481" s="178" t="s">
        <v>2581</v>
      </c>
      <c r="AA481" s="178" t="str">
        <f t="shared" si="405"/>
        <v>X</v>
      </c>
      <c r="AB481" s="176">
        <f t="shared" si="406"/>
        <v>5.17</v>
      </c>
      <c r="AC481" s="178" t="str">
        <f t="shared" si="407"/>
        <v xml:space="preserve"> </v>
      </c>
      <c r="AD481" s="176">
        <f t="shared" si="408"/>
        <v>0</v>
      </c>
      <c r="AE481" s="178" t="str">
        <f t="shared" si="409"/>
        <v xml:space="preserve"> </v>
      </c>
      <c r="AF481" s="176">
        <f t="shared" si="410"/>
        <v>0</v>
      </c>
      <c r="AG481" s="178" t="str">
        <f t="shared" si="411"/>
        <v/>
      </c>
      <c r="AH481" s="176">
        <f t="shared" si="412"/>
        <v>0</v>
      </c>
    </row>
    <row r="482" spans="2:34" ht="16.5" outlineLevel="1" x14ac:dyDescent="0.25">
      <c r="B482" s="175" t="s">
        <v>2725</v>
      </c>
      <c r="C482" s="176">
        <v>12.83</v>
      </c>
      <c r="D482" s="176">
        <v>17.39</v>
      </c>
      <c r="E482" s="194">
        <v>3</v>
      </c>
      <c r="F482" s="194">
        <v>0</v>
      </c>
      <c r="G482" s="194">
        <f t="shared" si="413"/>
        <v>3</v>
      </c>
      <c r="H482" s="176"/>
      <c r="I482" s="178" t="str">
        <f t="shared" si="395"/>
        <v>X</v>
      </c>
      <c r="J482" s="176">
        <f t="shared" si="396"/>
        <v>52.17</v>
      </c>
      <c r="K482" s="178" t="str">
        <f t="shared" si="397"/>
        <v xml:space="preserve"> </v>
      </c>
      <c r="L482" s="176">
        <f t="shared" si="398"/>
        <v>0</v>
      </c>
      <c r="M482" s="178" t="str">
        <f t="shared" si="399"/>
        <v>X</v>
      </c>
      <c r="N482" s="177">
        <f t="shared" si="400"/>
        <v>52.17</v>
      </c>
      <c r="O482" s="178" t="str">
        <f t="shared" si="401"/>
        <v xml:space="preserve"> </v>
      </c>
      <c r="P482" s="176">
        <v>1</v>
      </c>
      <c r="Q482" s="178" t="s">
        <v>0</v>
      </c>
      <c r="R482" s="176"/>
      <c r="S482" s="178" t="s">
        <v>2578</v>
      </c>
      <c r="T482" s="178" t="str">
        <f t="shared" si="402"/>
        <v>X</v>
      </c>
      <c r="U482" s="176">
        <f t="shared" si="415"/>
        <v>52.17</v>
      </c>
      <c r="V482" s="178" t="str">
        <f t="shared" si="403"/>
        <v xml:space="preserve"> </v>
      </c>
      <c r="W482" s="176">
        <f t="shared" si="416"/>
        <v>0</v>
      </c>
      <c r="X482" s="178" t="str">
        <f t="shared" si="404"/>
        <v xml:space="preserve"> </v>
      </c>
      <c r="Y482" s="176">
        <f t="shared" si="417"/>
        <v>0</v>
      </c>
      <c r="Z482" s="178" t="s">
        <v>2581</v>
      </c>
      <c r="AA482" s="178" t="str">
        <f t="shared" si="405"/>
        <v>X</v>
      </c>
      <c r="AB482" s="176">
        <f t="shared" si="406"/>
        <v>12.83</v>
      </c>
      <c r="AC482" s="178" t="str">
        <f t="shared" si="407"/>
        <v xml:space="preserve"> </v>
      </c>
      <c r="AD482" s="176">
        <f t="shared" si="408"/>
        <v>0</v>
      </c>
      <c r="AE482" s="178" t="str">
        <f t="shared" si="409"/>
        <v xml:space="preserve"> </v>
      </c>
      <c r="AF482" s="176">
        <f t="shared" si="410"/>
        <v>0</v>
      </c>
      <c r="AG482" s="178" t="str">
        <f t="shared" si="411"/>
        <v>X</v>
      </c>
      <c r="AH482" s="176">
        <f t="shared" si="412"/>
        <v>17.39</v>
      </c>
    </row>
    <row r="483" spans="2:34" ht="16.5" outlineLevel="1" x14ac:dyDescent="0.25">
      <c r="B483" s="175" t="s">
        <v>2660</v>
      </c>
      <c r="C483" s="176">
        <v>2.5099999999999998</v>
      </c>
      <c r="D483" s="176">
        <v>6.35</v>
      </c>
      <c r="E483" s="194">
        <v>3</v>
      </c>
      <c r="F483" s="194">
        <v>2.1</v>
      </c>
      <c r="G483" s="194">
        <f t="shared" si="413"/>
        <v>0.89999999999999991</v>
      </c>
      <c r="H483" s="176"/>
      <c r="I483" s="178" t="str">
        <f t="shared" si="395"/>
        <v>X</v>
      </c>
      <c r="J483" s="176">
        <f t="shared" si="396"/>
        <v>19.049999999999997</v>
      </c>
      <c r="K483" s="178" t="str">
        <f t="shared" si="397"/>
        <v>X</v>
      </c>
      <c r="L483" s="176">
        <f t="shared" si="398"/>
        <v>13.334999999999999</v>
      </c>
      <c r="M483" s="178" t="str">
        <f t="shared" si="399"/>
        <v>X</v>
      </c>
      <c r="N483" s="177">
        <f t="shared" si="400"/>
        <v>5.7149999999999981</v>
      </c>
      <c r="O483" s="178" t="str">
        <f t="shared" si="401"/>
        <v>X</v>
      </c>
      <c r="P483" s="176">
        <f t="shared" si="414"/>
        <v>13.334999999999999</v>
      </c>
      <c r="Q483" s="178" t="s">
        <v>0</v>
      </c>
      <c r="R483" s="176"/>
      <c r="S483" s="178" t="s">
        <v>2578</v>
      </c>
      <c r="T483" s="178" t="str">
        <f t="shared" si="402"/>
        <v>X</v>
      </c>
      <c r="U483" s="176">
        <f t="shared" si="415"/>
        <v>5.7149999999999981</v>
      </c>
      <c r="V483" s="178" t="str">
        <f t="shared" si="403"/>
        <v xml:space="preserve"> </v>
      </c>
      <c r="W483" s="176">
        <f t="shared" si="416"/>
        <v>0</v>
      </c>
      <c r="X483" s="178" t="str">
        <f t="shared" si="404"/>
        <v xml:space="preserve"> </v>
      </c>
      <c r="Y483" s="176">
        <f t="shared" si="417"/>
        <v>0</v>
      </c>
      <c r="Z483" s="178" t="s">
        <v>2581</v>
      </c>
      <c r="AA483" s="178" t="str">
        <f t="shared" si="405"/>
        <v>X</v>
      </c>
      <c r="AB483" s="176">
        <f t="shared" si="406"/>
        <v>2.5099999999999998</v>
      </c>
      <c r="AC483" s="178" t="str">
        <f t="shared" si="407"/>
        <v xml:space="preserve"> </v>
      </c>
      <c r="AD483" s="176">
        <f t="shared" si="408"/>
        <v>0</v>
      </c>
      <c r="AE483" s="178" t="str">
        <f t="shared" si="409"/>
        <v xml:space="preserve"> </v>
      </c>
      <c r="AF483" s="176">
        <f t="shared" si="410"/>
        <v>0</v>
      </c>
      <c r="AG483" s="178" t="str">
        <f t="shared" si="411"/>
        <v/>
      </c>
      <c r="AH483" s="176">
        <f t="shared" si="412"/>
        <v>0</v>
      </c>
    </row>
    <row r="484" spans="2:34" ht="16.5" outlineLevel="1" x14ac:dyDescent="0.25">
      <c r="B484" s="175" t="s">
        <v>2661</v>
      </c>
      <c r="C484" s="176">
        <v>2.11</v>
      </c>
      <c r="D484" s="176">
        <v>6.35</v>
      </c>
      <c r="E484" s="194">
        <v>3</v>
      </c>
      <c r="F484" s="194">
        <v>2.1</v>
      </c>
      <c r="G484" s="194">
        <f t="shared" si="413"/>
        <v>0.89999999999999991</v>
      </c>
      <c r="H484" s="176"/>
      <c r="I484" s="178" t="str">
        <f t="shared" si="395"/>
        <v>X</v>
      </c>
      <c r="J484" s="176">
        <f t="shared" si="396"/>
        <v>19.049999999999997</v>
      </c>
      <c r="K484" s="178" t="str">
        <f t="shared" si="397"/>
        <v>X</v>
      </c>
      <c r="L484" s="176">
        <f t="shared" si="398"/>
        <v>13.334999999999999</v>
      </c>
      <c r="M484" s="178" t="str">
        <f t="shared" si="399"/>
        <v>X</v>
      </c>
      <c r="N484" s="177">
        <f t="shared" si="400"/>
        <v>5.7149999999999981</v>
      </c>
      <c r="O484" s="178" t="str">
        <f t="shared" si="401"/>
        <v>X</v>
      </c>
      <c r="P484" s="176">
        <f t="shared" si="414"/>
        <v>13.334999999999999</v>
      </c>
      <c r="Q484" s="178" t="s">
        <v>0</v>
      </c>
      <c r="R484" s="176"/>
      <c r="S484" s="178" t="s">
        <v>2578</v>
      </c>
      <c r="T484" s="178" t="str">
        <f t="shared" si="402"/>
        <v>X</v>
      </c>
      <c r="U484" s="176">
        <f t="shared" si="415"/>
        <v>5.7149999999999981</v>
      </c>
      <c r="V484" s="178" t="str">
        <f t="shared" si="403"/>
        <v xml:space="preserve"> </v>
      </c>
      <c r="W484" s="176">
        <f t="shared" si="416"/>
        <v>0</v>
      </c>
      <c r="X484" s="178" t="str">
        <f t="shared" si="404"/>
        <v xml:space="preserve"> </v>
      </c>
      <c r="Y484" s="176">
        <f t="shared" si="417"/>
        <v>0</v>
      </c>
      <c r="Z484" s="178" t="s">
        <v>2581</v>
      </c>
      <c r="AA484" s="178" t="str">
        <f t="shared" si="405"/>
        <v>X</v>
      </c>
      <c r="AB484" s="176">
        <f t="shared" si="406"/>
        <v>2.11</v>
      </c>
      <c r="AC484" s="178" t="str">
        <f t="shared" si="407"/>
        <v xml:space="preserve"> </v>
      </c>
      <c r="AD484" s="176">
        <f t="shared" si="408"/>
        <v>0</v>
      </c>
      <c r="AE484" s="178" t="str">
        <f t="shared" si="409"/>
        <v xml:space="preserve"> </v>
      </c>
      <c r="AF484" s="176">
        <f t="shared" si="410"/>
        <v>0</v>
      </c>
      <c r="AG484" s="178" t="str">
        <f t="shared" si="411"/>
        <v/>
      </c>
      <c r="AH484" s="176">
        <f t="shared" si="412"/>
        <v>0</v>
      </c>
    </row>
    <row r="485" spans="2:34" ht="16.5" outlineLevel="1" x14ac:dyDescent="0.25">
      <c r="B485" s="175" t="s">
        <v>2750</v>
      </c>
      <c r="C485" s="176">
        <v>6.65</v>
      </c>
      <c r="D485" s="176">
        <v>10.47</v>
      </c>
      <c r="E485" s="194">
        <v>3</v>
      </c>
      <c r="F485" s="194">
        <v>0</v>
      </c>
      <c r="G485" s="194">
        <f t="shared" si="413"/>
        <v>3</v>
      </c>
      <c r="H485" s="176"/>
      <c r="I485" s="178" t="str">
        <f t="shared" si="395"/>
        <v>X</v>
      </c>
      <c r="J485" s="176">
        <f t="shared" si="396"/>
        <v>31.410000000000004</v>
      </c>
      <c r="K485" s="178" t="str">
        <f t="shared" si="397"/>
        <v xml:space="preserve"> </v>
      </c>
      <c r="L485" s="176">
        <f t="shared" si="398"/>
        <v>0</v>
      </c>
      <c r="M485" s="178" t="str">
        <f t="shared" si="399"/>
        <v>X</v>
      </c>
      <c r="N485" s="177">
        <f t="shared" si="400"/>
        <v>31.410000000000004</v>
      </c>
      <c r="O485" s="178" t="str">
        <f t="shared" si="401"/>
        <v xml:space="preserve"> </v>
      </c>
      <c r="P485" s="176">
        <f t="shared" si="414"/>
        <v>0</v>
      </c>
      <c r="Q485" s="178" t="s">
        <v>0</v>
      </c>
      <c r="R485" s="176"/>
      <c r="S485" s="178" t="s">
        <v>2578</v>
      </c>
      <c r="T485" s="178" t="str">
        <f t="shared" si="402"/>
        <v>X</v>
      </c>
      <c r="U485" s="176">
        <f t="shared" si="415"/>
        <v>31.410000000000004</v>
      </c>
      <c r="V485" s="178" t="str">
        <f t="shared" si="403"/>
        <v xml:space="preserve"> </v>
      </c>
      <c r="W485" s="176">
        <f t="shared" si="416"/>
        <v>0</v>
      </c>
      <c r="X485" s="178" t="str">
        <f t="shared" si="404"/>
        <v xml:space="preserve"> </v>
      </c>
      <c r="Y485" s="176">
        <f t="shared" si="417"/>
        <v>0</v>
      </c>
      <c r="Z485" s="178" t="s">
        <v>2581</v>
      </c>
      <c r="AA485" s="178" t="str">
        <f t="shared" si="405"/>
        <v>X</v>
      </c>
      <c r="AB485" s="176">
        <f t="shared" si="406"/>
        <v>6.65</v>
      </c>
      <c r="AC485" s="178" t="str">
        <f t="shared" si="407"/>
        <v xml:space="preserve"> </v>
      </c>
      <c r="AD485" s="176">
        <f t="shared" si="408"/>
        <v>0</v>
      </c>
      <c r="AE485" s="178" t="str">
        <f t="shared" si="409"/>
        <v xml:space="preserve"> </v>
      </c>
      <c r="AF485" s="176">
        <f t="shared" si="410"/>
        <v>0</v>
      </c>
      <c r="AG485" s="178" t="str">
        <f t="shared" si="411"/>
        <v>X</v>
      </c>
      <c r="AH485" s="176">
        <f t="shared" si="412"/>
        <v>10.47</v>
      </c>
    </row>
    <row r="486" spans="2:34" ht="16.5" outlineLevel="1" x14ac:dyDescent="0.25">
      <c r="B486" s="175" t="s">
        <v>2749</v>
      </c>
      <c r="C486" s="176">
        <v>6.71</v>
      </c>
      <c r="D486" s="176">
        <v>10.47</v>
      </c>
      <c r="E486" s="194">
        <v>3</v>
      </c>
      <c r="F486" s="194">
        <v>0</v>
      </c>
      <c r="G486" s="194">
        <f t="shared" si="413"/>
        <v>3</v>
      </c>
      <c r="H486" s="176"/>
      <c r="I486" s="178" t="str">
        <f t="shared" si="395"/>
        <v>X</v>
      </c>
      <c r="J486" s="176">
        <f t="shared" si="396"/>
        <v>31.410000000000004</v>
      </c>
      <c r="K486" s="178" t="str">
        <f t="shared" si="397"/>
        <v xml:space="preserve"> </v>
      </c>
      <c r="L486" s="176">
        <f t="shared" si="398"/>
        <v>0</v>
      </c>
      <c r="M486" s="178" t="str">
        <f t="shared" si="399"/>
        <v>X</v>
      </c>
      <c r="N486" s="177">
        <f t="shared" si="400"/>
        <v>31.410000000000004</v>
      </c>
      <c r="O486" s="178" t="str">
        <f t="shared" si="401"/>
        <v xml:space="preserve"> </v>
      </c>
      <c r="P486" s="176">
        <f t="shared" si="414"/>
        <v>0</v>
      </c>
      <c r="Q486" s="178" t="s">
        <v>0</v>
      </c>
      <c r="R486" s="176"/>
      <c r="S486" s="178" t="s">
        <v>2578</v>
      </c>
      <c r="T486" s="178" t="str">
        <f t="shared" si="402"/>
        <v>X</v>
      </c>
      <c r="U486" s="176">
        <f t="shared" si="415"/>
        <v>31.410000000000004</v>
      </c>
      <c r="V486" s="178" t="str">
        <f t="shared" si="403"/>
        <v xml:space="preserve"> </v>
      </c>
      <c r="W486" s="176">
        <f t="shared" si="416"/>
        <v>0</v>
      </c>
      <c r="X486" s="178" t="str">
        <f t="shared" si="404"/>
        <v xml:space="preserve"> </v>
      </c>
      <c r="Y486" s="176">
        <f t="shared" si="417"/>
        <v>0</v>
      </c>
      <c r="Z486" s="178" t="s">
        <v>2581</v>
      </c>
      <c r="AA486" s="178" t="str">
        <f t="shared" si="405"/>
        <v>X</v>
      </c>
      <c r="AB486" s="176">
        <f t="shared" si="406"/>
        <v>6.71</v>
      </c>
      <c r="AC486" s="178" t="str">
        <f t="shared" si="407"/>
        <v xml:space="preserve"> </v>
      </c>
      <c r="AD486" s="176">
        <f t="shared" si="408"/>
        <v>0</v>
      </c>
      <c r="AE486" s="178" t="str">
        <f t="shared" si="409"/>
        <v xml:space="preserve"> </v>
      </c>
      <c r="AF486" s="176">
        <f t="shared" si="410"/>
        <v>0</v>
      </c>
      <c r="AG486" s="178" t="str">
        <f t="shared" si="411"/>
        <v>X</v>
      </c>
      <c r="AH486" s="176">
        <f t="shared" si="412"/>
        <v>10.47</v>
      </c>
    </row>
    <row r="487" spans="2:34" ht="16.5" outlineLevel="1" x14ac:dyDescent="0.25">
      <c r="B487" s="175" t="s">
        <v>2591</v>
      </c>
      <c r="C487" s="176">
        <v>3.13</v>
      </c>
      <c r="D487" s="176">
        <v>7.08</v>
      </c>
      <c r="E487" s="194">
        <v>3</v>
      </c>
      <c r="F487" s="194">
        <v>2.1</v>
      </c>
      <c r="G487" s="194">
        <f t="shared" si="413"/>
        <v>0.89999999999999991</v>
      </c>
      <c r="H487" s="176"/>
      <c r="I487" s="178" t="str">
        <f t="shared" si="395"/>
        <v>X</v>
      </c>
      <c r="J487" s="176">
        <f t="shared" si="396"/>
        <v>21.240000000000002</v>
      </c>
      <c r="K487" s="178" t="str">
        <f t="shared" si="397"/>
        <v>X</v>
      </c>
      <c r="L487" s="176">
        <f t="shared" si="398"/>
        <v>14.868</v>
      </c>
      <c r="M487" s="178" t="str">
        <f t="shared" si="399"/>
        <v>X</v>
      </c>
      <c r="N487" s="177">
        <f t="shared" si="400"/>
        <v>6.3720000000000017</v>
      </c>
      <c r="O487" s="178" t="str">
        <f t="shared" si="401"/>
        <v>X</v>
      </c>
      <c r="P487" s="176">
        <f t="shared" si="414"/>
        <v>14.868</v>
      </c>
      <c r="Q487" s="178" t="s">
        <v>0</v>
      </c>
      <c r="R487" s="176"/>
      <c r="S487" s="178" t="s">
        <v>2578</v>
      </c>
      <c r="T487" s="178" t="str">
        <f t="shared" si="402"/>
        <v>X</v>
      </c>
      <c r="U487" s="176">
        <f t="shared" si="415"/>
        <v>6.3720000000000017</v>
      </c>
      <c r="V487" s="178" t="str">
        <f t="shared" si="403"/>
        <v xml:space="preserve"> </v>
      </c>
      <c r="W487" s="176">
        <f t="shared" si="416"/>
        <v>0</v>
      </c>
      <c r="X487" s="178" t="str">
        <f t="shared" si="404"/>
        <v xml:space="preserve"> </v>
      </c>
      <c r="Y487" s="176">
        <f t="shared" si="417"/>
        <v>0</v>
      </c>
      <c r="Z487" s="178" t="s">
        <v>2581</v>
      </c>
      <c r="AA487" s="178" t="str">
        <f t="shared" si="405"/>
        <v>X</v>
      </c>
      <c r="AB487" s="176">
        <f t="shared" si="406"/>
        <v>3.13</v>
      </c>
      <c r="AC487" s="178" t="str">
        <f t="shared" si="407"/>
        <v xml:space="preserve"> </v>
      </c>
      <c r="AD487" s="176">
        <f t="shared" si="408"/>
        <v>0</v>
      </c>
      <c r="AE487" s="178" t="str">
        <f t="shared" si="409"/>
        <v xml:space="preserve"> </v>
      </c>
      <c r="AF487" s="176">
        <f t="shared" si="410"/>
        <v>0</v>
      </c>
      <c r="AG487" s="178" t="str">
        <f t="shared" si="411"/>
        <v/>
      </c>
      <c r="AH487" s="176">
        <f t="shared" si="412"/>
        <v>0</v>
      </c>
    </row>
    <row r="488" spans="2:34" ht="16.5" outlineLevel="1" x14ac:dyDescent="0.25">
      <c r="B488" s="175" t="s">
        <v>2666</v>
      </c>
      <c r="C488" s="176">
        <v>4.49</v>
      </c>
      <c r="D488" s="176">
        <v>8.73</v>
      </c>
      <c r="E488" s="194">
        <v>3</v>
      </c>
      <c r="F488" s="194">
        <v>2.1</v>
      </c>
      <c r="G488" s="194">
        <f t="shared" si="413"/>
        <v>0.89999999999999991</v>
      </c>
      <c r="H488" s="176"/>
      <c r="I488" s="178" t="str">
        <f t="shared" si="395"/>
        <v>X</v>
      </c>
      <c r="J488" s="176">
        <f t="shared" si="396"/>
        <v>26.19</v>
      </c>
      <c r="K488" s="178" t="str">
        <f t="shared" si="397"/>
        <v>X</v>
      </c>
      <c r="L488" s="176">
        <f t="shared" si="398"/>
        <v>18.333000000000002</v>
      </c>
      <c r="M488" s="178" t="str">
        <f t="shared" si="399"/>
        <v>X</v>
      </c>
      <c r="N488" s="177">
        <f t="shared" si="400"/>
        <v>7.8569999999999993</v>
      </c>
      <c r="O488" s="178" t="str">
        <f t="shared" si="401"/>
        <v>X</v>
      </c>
      <c r="P488" s="176">
        <f t="shared" si="414"/>
        <v>18.333000000000002</v>
      </c>
      <c r="Q488" s="178" t="s">
        <v>0</v>
      </c>
      <c r="R488" s="176"/>
      <c r="S488" s="178" t="s">
        <v>2578</v>
      </c>
      <c r="T488" s="178" t="str">
        <f t="shared" si="402"/>
        <v>X</v>
      </c>
      <c r="U488" s="176">
        <f t="shared" si="415"/>
        <v>7.8569999999999993</v>
      </c>
      <c r="V488" s="178" t="str">
        <f t="shared" si="403"/>
        <v xml:space="preserve"> </v>
      </c>
      <c r="W488" s="176">
        <f t="shared" si="416"/>
        <v>0</v>
      </c>
      <c r="X488" s="178" t="str">
        <f t="shared" si="404"/>
        <v xml:space="preserve"> </v>
      </c>
      <c r="Y488" s="176">
        <f t="shared" si="417"/>
        <v>0</v>
      </c>
      <c r="Z488" s="178" t="s">
        <v>2581</v>
      </c>
      <c r="AA488" s="178" t="str">
        <f t="shared" si="405"/>
        <v>X</v>
      </c>
      <c r="AB488" s="176">
        <f t="shared" si="406"/>
        <v>4.49</v>
      </c>
      <c r="AC488" s="178" t="str">
        <f t="shared" si="407"/>
        <v xml:space="preserve"> </v>
      </c>
      <c r="AD488" s="176">
        <f t="shared" si="408"/>
        <v>0</v>
      </c>
      <c r="AE488" s="178" t="str">
        <f t="shared" si="409"/>
        <v xml:space="preserve"> </v>
      </c>
      <c r="AF488" s="176">
        <f t="shared" si="410"/>
        <v>0</v>
      </c>
      <c r="AG488" s="178" t="str">
        <f t="shared" si="411"/>
        <v/>
      </c>
      <c r="AH488" s="176">
        <f t="shared" si="412"/>
        <v>0</v>
      </c>
    </row>
    <row r="489" spans="2:34" ht="16.5" outlineLevel="1" x14ac:dyDescent="0.25">
      <c r="B489" s="175" t="s">
        <v>2730</v>
      </c>
      <c r="C489" s="176">
        <v>13.54</v>
      </c>
      <c r="D489" s="176">
        <v>15.12</v>
      </c>
      <c r="E489" s="194">
        <v>3</v>
      </c>
      <c r="F489" s="194">
        <v>0</v>
      </c>
      <c r="G489" s="194">
        <f t="shared" si="413"/>
        <v>3</v>
      </c>
      <c r="H489" s="176">
        <v>1.5</v>
      </c>
      <c r="I489" s="178" t="str">
        <f t="shared" si="395"/>
        <v>X</v>
      </c>
      <c r="J489" s="176">
        <f t="shared" si="396"/>
        <v>40.86</v>
      </c>
      <c r="K489" s="178" t="str">
        <f t="shared" si="397"/>
        <v xml:space="preserve"> </v>
      </c>
      <c r="L489" s="176">
        <f t="shared" si="398"/>
        <v>0</v>
      </c>
      <c r="M489" s="178" t="str">
        <f t="shared" si="399"/>
        <v>X</v>
      </c>
      <c r="N489" s="177">
        <f t="shared" si="400"/>
        <v>40.86</v>
      </c>
      <c r="O489" s="178" t="str">
        <f t="shared" si="401"/>
        <v xml:space="preserve"> </v>
      </c>
      <c r="P489" s="176">
        <v>1</v>
      </c>
      <c r="Q489" s="178" t="s">
        <v>0</v>
      </c>
      <c r="R489" s="176"/>
      <c r="S489" s="178" t="s">
        <v>2578</v>
      </c>
      <c r="T489" s="178" t="str">
        <f t="shared" si="402"/>
        <v>X</v>
      </c>
      <c r="U489" s="176">
        <f t="shared" si="415"/>
        <v>40.86</v>
      </c>
      <c r="V489" s="178" t="str">
        <f t="shared" si="403"/>
        <v xml:space="preserve"> </v>
      </c>
      <c r="W489" s="176">
        <f t="shared" si="416"/>
        <v>0</v>
      </c>
      <c r="X489" s="178" t="str">
        <f t="shared" si="404"/>
        <v xml:space="preserve"> </v>
      </c>
      <c r="Y489" s="176">
        <f t="shared" si="417"/>
        <v>0</v>
      </c>
      <c r="Z489" s="178" t="s">
        <v>2582</v>
      </c>
      <c r="AA489" s="178" t="str">
        <f t="shared" si="405"/>
        <v xml:space="preserve"> </v>
      </c>
      <c r="AB489" s="176">
        <f t="shared" si="406"/>
        <v>0</v>
      </c>
      <c r="AC489" s="178" t="str">
        <f t="shared" si="407"/>
        <v>X</v>
      </c>
      <c r="AD489" s="176">
        <f t="shared" si="408"/>
        <v>13.54</v>
      </c>
      <c r="AE489" s="178" t="str">
        <f t="shared" si="409"/>
        <v xml:space="preserve"> </v>
      </c>
      <c r="AF489" s="176">
        <f t="shared" si="410"/>
        <v>0</v>
      </c>
      <c r="AG489" s="178" t="str">
        <f t="shared" si="411"/>
        <v>X</v>
      </c>
      <c r="AH489" s="176">
        <f t="shared" si="412"/>
        <v>13.62</v>
      </c>
    </row>
    <row r="490" spans="2:34" ht="16.5" outlineLevel="1" x14ac:dyDescent="0.25">
      <c r="B490" s="175" t="s">
        <v>2669</v>
      </c>
      <c r="C490" s="176">
        <v>6.85</v>
      </c>
      <c r="D490" s="176">
        <v>11.95</v>
      </c>
      <c r="E490" s="194">
        <v>3</v>
      </c>
      <c r="F490" s="194">
        <v>0</v>
      </c>
      <c r="G490" s="194">
        <f t="shared" si="413"/>
        <v>3</v>
      </c>
      <c r="H490" s="176"/>
      <c r="I490" s="178" t="str">
        <f t="shared" si="395"/>
        <v>X</v>
      </c>
      <c r="J490" s="176">
        <f t="shared" si="396"/>
        <v>35.849999999999994</v>
      </c>
      <c r="K490" s="178" t="str">
        <f t="shared" si="397"/>
        <v xml:space="preserve"> </v>
      </c>
      <c r="L490" s="176">
        <f t="shared" si="398"/>
        <v>0</v>
      </c>
      <c r="M490" s="178" t="str">
        <f t="shared" si="399"/>
        <v>X</v>
      </c>
      <c r="N490" s="177">
        <f t="shared" si="400"/>
        <v>35.849999999999994</v>
      </c>
      <c r="O490" s="178" t="str">
        <f t="shared" si="401"/>
        <v xml:space="preserve"> </v>
      </c>
      <c r="P490" s="176">
        <f t="shared" si="414"/>
        <v>0</v>
      </c>
      <c r="Q490" s="178" t="s">
        <v>0</v>
      </c>
      <c r="R490" s="176"/>
      <c r="S490" s="178" t="s">
        <v>2578</v>
      </c>
      <c r="T490" s="178" t="str">
        <f t="shared" si="402"/>
        <v>X</v>
      </c>
      <c r="U490" s="176">
        <f t="shared" si="415"/>
        <v>35.849999999999994</v>
      </c>
      <c r="V490" s="178" t="str">
        <f t="shared" si="403"/>
        <v xml:space="preserve"> </v>
      </c>
      <c r="W490" s="176">
        <f t="shared" si="416"/>
        <v>0</v>
      </c>
      <c r="X490" s="178" t="str">
        <f t="shared" si="404"/>
        <v xml:space="preserve"> </v>
      </c>
      <c r="Y490" s="176">
        <f t="shared" si="417"/>
        <v>0</v>
      </c>
      <c r="Z490" s="178" t="s">
        <v>2581</v>
      </c>
      <c r="AA490" s="178" t="str">
        <f t="shared" si="405"/>
        <v>X</v>
      </c>
      <c r="AB490" s="176">
        <f t="shared" si="406"/>
        <v>6.85</v>
      </c>
      <c r="AC490" s="178" t="str">
        <f t="shared" si="407"/>
        <v xml:space="preserve"> </v>
      </c>
      <c r="AD490" s="176">
        <f t="shared" si="408"/>
        <v>0</v>
      </c>
      <c r="AE490" s="178" t="str">
        <f t="shared" si="409"/>
        <v xml:space="preserve"> </v>
      </c>
      <c r="AF490" s="176">
        <f t="shared" si="410"/>
        <v>0</v>
      </c>
      <c r="AG490" s="178" t="str">
        <f t="shared" si="411"/>
        <v>X</v>
      </c>
      <c r="AH490" s="176">
        <f t="shared" si="412"/>
        <v>11.95</v>
      </c>
    </row>
    <row r="491" spans="2:34" ht="16.5" outlineLevel="1" x14ac:dyDescent="0.25">
      <c r="B491" s="175" t="s">
        <v>2670</v>
      </c>
      <c r="C491" s="176">
        <v>19.02</v>
      </c>
      <c r="D491" s="176">
        <v>20.95</v>
      </c>
      <c r="E491" s="194">
        <v>3</v>
      </c>
      <c r="F491" s="194">
        <v>0</v>
      </c>
      <c r="G491" s="194">
        <f t="shared" si="413"/>
        <v>3</v>
      </c>
      <c r="H491" s="176"/>
      <c r="I491" s="178" t="str">
        <f t="shared" si="395"/>
        <v>X</v>
      </c>
      <c r="J491" s="176">
        <f t="shared" si="396"/>
        <v>62.849999999999994</v>
      </c>
      <c r="K491" s="178" t="str">
        <f t="shared" si="397"/>
        <v xml:space="preserve"> </v>
      </c>
      <c r="L491" s="176">
        <f t="shared" si="398"/>
        <v>0</v>
      </c>
      <c r="M491" s="178" t="str">
        <f t="shared" si="399"/>
        <v>X</v>
      </c>
      <c r="N491" s="177">
        <f t="shared" si="400"/>
        <v>62.849999999999994</v>
      </c>
      <c r="O491" s="178" t="str">
        <f t="shared" si="401"/>
        <v xml:space="preserve"> </v>
      </c>
      <c r="P491" s="176">
        <f t="shared" si="414"/>
        <v>0</v>
      </c>
      <c r="Q491" s="178" t="s">
        <v>0</v>
      </c>
      <c r="R491" s="176"/>
      <c r="S491" s="178" t="s">
        <v>2580</v>
      </c>
      <c r="T491" s="178" t="str">
        <f t="shared" si="402"/>
        <v xml:space="preserve"> </v>
      </c>
      <c r="U491" s="176">
        <f t="shared" si="415"/>
        <v>0</v>
      </c>
      <c r="V491" s="178" t="str">
        <f t="shared" si="403"/>
        <v xml:space="preserve"> </v>
      </c>
      <c r="W491" s="176">
        <f t="shared" si="416"/>
        <v>0</v>
      </c>
      <c r="X491" s="178" t="str">
        <f t="shared" si="404"/>
        <v>X</v>
      </c>
      <c r="Y491" s="176">
        <f t="shared" si="417"/>
        <v>62.849999999999994</v>
      </c>
      <c r="Z491" s="178" t="s">
        <v>2583</v>
      </c>
      <c r="AA491" s="178" t="str">
        <f t="shared" si="405"/>
        <v xml:space="preserve"> </v>
      </c>
      <c r="AB491" s="176">
        <f t="shared" si="406"/>
        <v>0</v>
      </c>
      <c r="AC491" s="178" t="str">
        <f t="shared" si="407"/>
        <v xml:space="preserve"> </v>
      </c>
      <c r="AD491" s="176">
        <f t="shared" si="408"/>
        <v>0</v>
      </c>
      <c r="AE491" s="178" t="str">
        <f t="shared" si="409"/>
        <v>X</v>
      </c>
      <c r="AF491" s="176">
        <f t="shared" si="410"/>
        <v>19.02</v>
      </c>
      <c r="AG491" s="178" t="str">
        <f t="shared" si="411"/>
        <v>X</v>
      </c>
      <c r="AH491" s="176">
        <f t="shared" si="412"/>
        <v>20.95</v>
      </c>
    </row>
    <row r="492" spans="2:34" ht="16.5" outlineLevel="1" x14ac:dyDescent="0.25">
      <c r="B492" s="175" t="s">
        <v>2594</v>
      </c>
      <c r="C492" s="176">
        <v>61.84</v>
      </c>
      <c r="D492" s="176">
        <v>60.36</v>
      </c>
      <c r="E492" s="194">
        <v>3</v>
      </c>
      <c r="F492" s="194">
        <v>0</v>
      </c>
      <c r="G492" s="194">
        <f t="shared" si="413"/>
        <v>3</v>
      </c>
      <c r="H492" s="176"/>
      <c r="I492" s="178" t="str">
        <f t="shared" si="395"/>
        <v>X</v>
      </c>
      <c r="J492" s="176">
        <f t="shared" si="396"/>
        <v>181.07999999999998</v>
      </c>
      <c r="K492" s="178" t="str">
        <f t="shared" si="397"/>
        <v xml:space="preserve"> </v>
      </c>
      <c r="L492" s="176">
        <f t="shared" si="398"/>
        <v>0</v>
      </c>
      <c r="M492" s="178" t="str">
        <f t="shared" si="399"/>
        <v>X</v>
      </c>
      <c r="N492" s="177">
        <f t="shared" si="400"/>
        <v>181.07999999999998</v>
      </c>
      <c r="O492" s="178" t="str">
        <f t="shared" si="401"/>
        <v xml:space="preserve"> </v>
      </c>
      <c r="P492" s="176">
        <f t="shared" si="414"/>
        <v>0</v>
      </c>
      <c r="Q492" s="178" t="s">
        <v>0</v>
      </c>
      <c r="R492" s="176"/>
      <c r="S492" s="178" t="s">
        <v>2578</v>
      </c>
      <c r="T492" s="178" t="str">
        <f t="shared" si="402"/>
        <v>X</v>
      </c>
      <c r="U492" s="176">
        <f t="shared" si="415"/>
        <v>181.07999999999998</v>
      </c>
      <c r="V492" s="178" t="str">
        <f t="shared" si="403"/>
        <v xml:space="preserve"> </v>
      </c>
      <c r="W492" s="176">
        <f t="shared" si="416"/>
        <v>0</v>
      </c>
      <c r="X492" s="178" t="str">
        <f t="shared" si="404"/>
        <v xml:space="preserve"> </v>
      </c>
      <c r="Y492" s="176">
        <f t="shared" si="417"/>
        <v>0</v>
      </c>
      <c r="Z492" s="178" t="s">
        <v>2582</v>
      </c>
      <c r="AA492" s="178" t="str">
        <f t="shared" si="405"/>
        <v xml:space="preserve"> </v>
      </c>
      <c r="AB492" s="176">
        <f t="shared" si="406"/>
        <v>0</v>
      </c>
      <c r="AC492" s="178" t="str">
        <f t="shared" si="407"/>
        <v>X</v>
      </c>
      <c r="AD492" s="176">
        <f t="shared" si="408"/>
        <v>61.84</v>
      </c>
      <c r="AE492" s="178" t="str">
        <f t="shared" si="409"/>
        <v xml:space="preserve"> </v>
      </c>
      <c r="AF492" s="176">
        <f t="shared" si="410"/>
        <v>0</v>
      </c>
      <c r="AG492" s="178" t="str">
        <f t="shared" si="411"/>
        <v>X</v>
      </c>
      <c r="AH492" s="176">
        <f t="shared" si="412"/>
        <v>60.36</v>
      </c>
    </row>
    <row r="493" spans="2:34" ht="16.5" outlineLevel="1" x14ac:dyDescent="0.25">
      <c r="B493" s="175" t="s">
        <v>2644</v>
      </c>
      <c r="C493" s="176">
        <v>28.36</v>
      </c>
      <c r="D493" s="176">
        <v>22.06</v>
      </c>
      <c r="E493" s="194">
        <v>3</v>
      </c>
      <c r="F493" s="194">
        <v>0</v>
      </c>
      <c r="G493" s="194">
        <f t="shared" si="413"/>
        <v>3</v>
      </c>
      <c r="H493" s="176"/>
      <c r="I493" s="178" t="str">
        <f t="shared" si="395"/>
        <v>X</v>
      </c>
      <c r="J493" s="176">
        <f t="shared" si="396"/>
        <v>66.179999999999993</v>
      </c>
      <c r="K493" s="178" t="str">
        <f t="shared" si="397"/>
        <v xml:space="preserve"> </v>
      </c>
      <c r="L493" s="176">
        <f t="shared" si="398"/>
        <v>0</v>
      </c>
      <c r="M493" s="178" t="str">
        <f t="shared" si="399"/>
        <v>X</v>
      </c>
      <c r="N493" s="177">
        <f t="shared" si="400"/>
        <v>66.179999999999993</v>
      </c>
      <c r="O493" s="178" t="str">
        <f t="shared" si="401"/>
        <v xml:space="preserve"> </v>
      </c>
      <c r="P493" s="176">
        <v>1</v>
      </c>
      <c r="Q493" s="178" t="s">
        <v>0</v>
      </c>
      <c r="R493" s="176"/>
      <c r="S493" s="178" t="s">
        <v>2578</v>
      </c>
      <c r="T493" s="178" t="str">
        <f t="shared" si="402"/>
        <v>X</v>
      </c>
      <c r="U493" s="176">
        <f t="shared" si="415"/>
        <v>66.179999999999993</v>
      </c>
      <c r="V493" s="178" t="str">
        <f t="shared" si="403"/>
        <v xml:space="preserve"> </v>
      </c>
      <c r="W493" s="176">
        <f t="shared" si="416"/>
        <v>0</v>
      </c>
      <c r="X493" s="178" t="str">
        <f t="shared" si="404"/>
        <v xml:space="preserve"> </v>
      </c>
      <c r="Y493" s="176">
        <f t="shared" si="417"/>
        <v>0</v>
      </c>
      <c r="Z493" s="178" t="s">
        <v>2581</v>
      </c>
      <c r="AA493" s="178" t="str">
        <f t="shared" si="405"/>
        <v>X</v>
      </c>
      <c r="AB493" s="176">
        <f t="shared" si="406"/>
        <v>28.36</v>
      </c>
      <c r="AC493" s="178" t="str">
        <f t="shared" si="407"/>
        <v xml:space="preserve"> </v>
      </c>
      <c r="AD493" s="176">
        <f t="shared" si="408"/>
        <v>0</v>
      </c>
      <c r="AE493" s="178" t="str">
        <f t="shared" si="409"/>
        <v xml:space="preserve"> </v>
      </c>
      <c r="AF493" s="176">
        <f t="shared" si="410"/>
        <v>0</v>
      </c>
      <c r="AG493" s="178" t="str">
        <f t="shared" si="411"/>
        <v>X</v>
      </c>
      <c r="AH493" s="176">
        <f t="shared" si="412"/>
        <v>22.06</v>
      </c>
    </row>
    <row r="494" spans="2:34" ht="16.5" outlineLevel="1" x14ac:dyDescent="0.25">
      <c r="B494" s="175" t="s">
        <v>2645</v>
      </c>
      <c r="C494" s="176">
        <v>5.18</v>
      </c>
      <c r="D494" s="176">
        <v>9.99</v>
      </c>
      <c r="E494" s="194">
        <v>3</v>
      </c>
      <c r="F494" s="194">
        <v>2.1</v>
      </c>
      <c r="G494" s="194">
        <f t="shared" si="413"/>
        <v>0.89999999999999991</v>
      </c>
      <c r="H494" s="176"/>
      <c r="I494" s="178" t="str">
        <f t="shared" si="395"/>
        <v>X</v>
      </c>
      <c r="J494" s="176">
        <f t="shared" si="396"/>
        <v>29.97</v>
      </c>
      <c r="K494" s="178" t="str">
        <f t="shared" si="397"/>
        <v>X</v>
      </c>
      <c r="L494" s="176">
        <f t="shared" si="398"/>
        <v>20.979000000000003</v>
      </c>
      <c r="M494" s="178" t="str">
        <f t="shared" si="399"/>
        <v>X</v>
      </c>
      <c r="N494" s="177">
        <f t="shared" si="400"/>
        <v>8.9909999999999961</v>
      </c>
      <c r="O494" s="178" t="str">
        <f t="shared" si="401"/>
        <v>X</v>
      </c>
      <c r="P494" s="176">
        <f t="shared" si="414"/>
        <v>20.979000000000003</v>
      </c>
      <c r="Q494" s="178" t="s">
        <v>0</v>
      </c>
      <c r="R494" s="176"/>
      <c r="S494" s="178" t="s">
        <v>2578</v>
      </c>
      <c r="T494" s="178" t="str">
        <f t="shared" si="402"/>
        <v>X</v>
      </c>
      <c r="U494" s="176">
        <f t="shared" si="415"/>
        <v>8.9909999999999961</v>
      </c>
      <c r="V494" s="178" t="str">
        <f t="shared" si="403"/>
        <v xml:space="preserve"> </v>
      </c>
      <c r="W494" s="176">
        <f t="shared" si="416"/>
        <v>0</v>
      </c>
      <c r="X494" s="178" t="str">
        <f t="shared" si="404"/>
        <v xml:space="preserve"> </v>
      </c>
      <c r="Y494" s="176">
        <f t="shared" si="417"/>
        <v>0</v>
      </c>
      <c r="Z494" s="178" t="s">
        <v>2581</v>
      </c>
      <c r="AA494" s="178" t="str">
        <f t="shared" si="405"/>
        <v>X</v>
      </c>
      <c r="AB494" s="176">
        <f t="shared" si="406"/>
        <v>5.18</v>
      </c>
      <c r="AC494" s="178" t="str">
        <f t="shared" si="407"/>
        <v xml:space="preserve"> </v>
      </c>
      <c r="AD494" s="176">
        <f t="shared" si="408"/>
        <v>0</v>
      </c>
      <c r="AE494" s="178" t="str">
        <f t="shared" si="409"/>
        <v xml:space="preserve"> </v>
      </c>
      <c r="AF494" s="176">
        <f t="shared" si="410"/>
        <v>0</v>
      </c>
      <c r="AG494" s="178" t="str">
        <f t="shared" si="411"/>
        <v/>
      </c>
      <c r="AH494" s="176">
        <f t="shared" si="412"/>
        <v>0</v>
      </c>
    </row>
    <row r="495" spans="2:34" ht="16.5" outlineLevel="1" x14ac:dyDescent="0.25">
      <c r="B495" s="175" t="s">
        <v>2646</v>
      </c>
      <c r="C495" s="176">
        <v>28.45</v>
      </c>
      <c r="D495" s="176">
        <v>22.12</v>
      </c>
      <c r="E495" s="194">
        <v>3</v>
      </c>
      <c r="F495" s="194">
        <v>0</v>
      </c>
      <c r="G495" s="194">
        <f t="shared" si="413"/>
        <v>3</v>
      </c>
      <c r="H495" s="176"/>
      <c r="I495" s="178" t="str">
        <f t="shared" si="395"/>
        <v>X</v>
      </c>
      <c r="J495" s="176">
        <f t="shared" si="396"/>
        <v>66.36</v>
      </c>
      <c r="K495" s="178" t="str">
        <f t="shared" si="397"/>
        <v xml:space="preserve"> </v>
      </c>
      <c r="L495" s="176">
        <f t="shared" si="398"/>
        <v>0</v>
      </c>
      <c r="M495" s="178" t="str">
        <f t="shared" si="399"/>
        <v>X</v>
      </c>
      <c r="N495" s="177">
        <f t="shared" si="400"/>
        <v>66.36</v>
      </c>
      <c r="O495" s="178" t="str">
        <f t="shared" si="401"/>
        <v xml:space="preserve"> </v>
      </c>
      <c r="P495" s="176">
        <v>1</v>
      </c>
      <c r="Q495" s="178" t="s">
        <v>0</v>
      </c>
      <c r="R495" s="176"/>
      <c r="S495" s="178" t="s">
        <v>2578</v>
      </c>
      <c r="T495" s="178" t="str">
        <f t="shared" si="402"/>
        <v>X</v>
      </c>
      <c r="U495" s="176">
        <f t="shared" si="415"/>
        <v>66.36</v>
      </c>
      <c r="V495" s="178" t="str">
        <f t="shared" si="403"/>
        <v xml:space="preserve"> </v>
      </c>
      <c r="W495" s="176">
        <f t="shared" si="416"/>
        <v>0</v>
      </c>
      <c r="X495" s="178" t="str">
        <f t="shared" si="404"/>
        <v xml:space="preserve"> </v>
      </c>
      <c r="Y495" s="176">
        <f t="shared" si="417"/>
        <v>0</v>
      </c>
      <c r="Z495" s="178" t="s">
        <v>2581</v>
      </c>
      <c r="AA495" s="178" t="str">
        <f t="shared" si="405"/>
        <v>X</v>
      </c>
      <c r="AB495" s="176">
        <f t="shared" si="406"/>
        <v>28.45</v>
      </c>
      <c r="AC495" s="178" t="str">
        <f t="shared" si="407"/>
        <v xml:space="preserve"> </v>
      </c>
      <c r="AD495" s="176">
        <f t="shared" si="408"/>
        <v>0</v>
      </c>
      <c r="AE495" s="178" t="str">
        <f t="shared" si="409"/>
        <v xml:space="preserve"> </v>
      </c>
      <c r="AF495" s="176">
        <f t="shared" si="410"/>
        <v>0</v>
      </c>
      <c r="AG495" s="178" t="str">
        <f t="shared" si="411"/>
        <v>X</v>
      </c>
      <c r="AH495" s="176">
        <f t="shared" si="412"/>
        <v>22.12</v>
      </c>
    </row>
    <row r="496" spans="2:34" ht="16.5" outlineLevel="1" x14ac:dyDescent="0.25">
      <c r="B496" s="175" t="s">
        <v>2647</v>
      </c>
      <c r="C496" s="176">
        <v>5.18</v>
      </c>
      <c r="D496" s="176">
        <v>9.99</v>
      </c>
      <c r="E496" s="194">
        <v>3</v>
      </c>
      <c r="F496" s="194">
        <v>2.1</v>
      </c>
      <c r="G496" s="194">
        <f t="shared" si="413"/>
        <v>0.89999999999999991</v>
      </c>
      <c r="H496" s="176"/>
      <c r="I496" s="178" t="str">
        <f t="shared" si="395"/>
        <v>X</v>
      </c>
      <c r="J496" s="176">
        <f t="shared" si="396"/>
        <v>29.97</v>
      </c>
      <c r="K496" s="178" t="str">
        <f t="shared" si="397"/>
        <v>X</v>
      </c>
      <c r="L496" s="176">
        <f t="shared" si="398"/>
        <v>20.979000000000003</v>
      </c>
      <c r="M496" s="178" t="str">
        <f t="shared" si="399"/>
        <v>X</v>
      </c>
      <c r="N496" s="177">
        <f t="shared" si="400"/>
        <v>8.9909999999999961</v>
      </c>
      <c r="O496" s="178" t="str">
        <f t="shared" si="401"/>
        <v>X</v>
      </c>
      <c r="P496" s="176">
        <f t="shared" si="414"/>
        <v>20.979000000000003</v>
      </c>
      <c r="Q496" s="178" t="s">
        <v>0</v>
      </c>
      <c r="R496" s="176"/>
      <c r="S496" s="178" t="s">
        <v>2578</v>
      </c>
      <c r="T496" s="178" t="str">
        <f t="shared" si="402"/>
        <v>X</v>
      </c>
      <c r="U496" s="176">
        <f t="shared" si="415"/>
        <v>8.9909999999999961</v>
      </c>
      <c r="V496" s="178" t="str">
        <f t="shared" si="403"/>
        <v xml:space="preserve"> </v>
      </c>
      <c r="W496" s="176">
        <f t="shared" si="416"/>
        <v>0</v>
      </c>
      <c r="X496" s="178" t="str">
        <f t="shared" si="404"/>
        <v xml:space="preserve"> </v>
      </c>
      <c r="Y496" s="176">
        <f t="shared" si="417"/>
        <v>0</v>
      </c>
      <c r="Z496" s="178" t="s">
        <v>2581</v>
      </c>
      <c r="AA496" s="178" t="str">
        <f t="shared" si="405"/>
        <v>X</v>
      </c>
      <c r="AB496" s="176">
        <f t="shared" si="406"/>
        <v>5.18</v>
      </c>
      <c r="AC496" s="178" t="str">
        <f t="shared" si="407"/>
        <v xml:space="preserve"> </v>
      </c>
      <c r="AD496" s="176">
        <f t="shared" si="408"/>
        <v>0</v>
      </c>
      <c r="AE496" s="178" t="str">
        <f t="shared" si="409"/>
        <v xml:space="preserve"> </v>
      </c>
      <c r="AF496" s="176">
        <f t="shared" si="410"/>
        <v>0</v>
      </c>
      <c r="AG496" s="178" t="str">
        <f t="shared" si="411"/>
        <v/>
      </c>
      <c r="AH496" s="176">
        <f t="shared" si="412"/>
        <v>0</v>
      </c>
    </row>
    <row r="497" spans="2:34" ht="16.5" outlineLevel="1" x14ac:dyDescent="0.25">
      <c r="B497" s="175" t="s">
        <v>2677</v>
      </c>
      <c r="C497" s="176">
        <v>24.23</v>
      </c>
      <c r="D497" s="176">
        <v>20.55</v>
      </c>
      <c r="E497" s="194">
        <v>3</v>
      </c>
      <c r="F497" s="194">
        <v>0</v>
      </c>
      <c r="G497" s="194">
        <f t="shared" si="413"/>
        <v>3</v>
      </c>
      <c r="H497" s="176"/>
      <c r="I497" s="178" t="str">
        <f t="shared" si="395"/>
        <v>X</v>
      </c>
      <c r="J497" s="176">
        <f t="shared" si="396"/>
        <v>61.650000000000006</v>
      </c>
      <c r="K497" s="178" t="str">
        <f t="shared" si="397"/>
        <v xml:space="preserve"> </v>
      </c>
      <c r="L497" s="176">
        <f t="shared" si="398"/>
        <v>0</v>
      </c>
      <c r="M497" s="178" t="str">
        <f t="shared" si="399"/>
        <v>X</v>
      </c>
      <c r="N497" s="177">
        <f t="shared" si="400"/>
        <v>61.650000000000006</v>
      </c>
      <c r="O497" s="178" t="str">
        <f t="shared" si="401"/>
        <v xml:space="preserve"> </v>
      </c>
      <c r="P497" s="176">
        <v>1</v>
      </c>
      <c r="Q497" s="178" t="s">
        <v>0</v>
      </c>
      <c r="R497" s="176"/>
      <c r="S497" s="178" t="s">
        <v>2578</v>
      </c>
      <c r="T497" s="178" t="str">
        <f t="shared" si="402"/>
        <v>X</v>
      </c>
      <c r="U497" s="176">
        <f t="shared" si="415"/>
        <v>61.650000000000006</v>
      </c>
      <c r="V497" s="178" t="str">
        <f t="shared" si="403"/>
        <v xml:space="preserve"> </v>
      </c>
      <c r="W497" s="176">
        <f t="shared" si="416"/>
        <v>0</v>
      </c>
      <c r="X497" s="178" t="str">
        <f t="shared" si="404"/>
        <v xml:space="preserve"> </v>
      </c>
      <c r="Y497" s="176">
        <f t="shared" si="417"/>
        <v>0</v>
      </c>
      <c r="Z497" s="178" t="s">
        <v>2581</v>
      </c>
      <c r="AA497" s="178" t="str">
        <f t="shared" si="405"/>
        <v>X</v>
      </c>
      <c r="AB497" s="176">
        <f t="shared" si="406"/>
        <v>24.23</v>
      </c>
      <c r="AC497" s="178" t="str">
        <f t="shared" si="407"/>
        <v xml:space="preserve"> </v>
      </c>
      <c r="AD497" s="176">
        <f t="shared" si="408"/>
        <v>0</v>
      </c>
      <c r="AE497" s="178" t="str">
        <f t="shared" si="409"/>
        <v xml:space="preserve"> </v>
      </c>
      <c r="AF497" s="176">
        <f t="shared" si="410"/>
        <v>0</v>
      </c>
      <c r="AG497" s="178" t="str">
        <f t="shared" si="411"/>
        <v>X</v>
      </c>
      <c r="AH497" s="176">
        <f t="shared" si="412"/>
        <v>20.55</v>
      </c>
    </row>
    <row r="498" spans="2:34" ht="16.5" outlineLevel="1" x14ac:dyDescent="0.25">
      <c r="B498" s="175" t="s">
        <v>2678</v>
      </c>
      <c r="C498" s="176">
        <v>5.71</v>
      </c>
      <c r="D498" s="176">
        <v>10.6</v>
      </c>
      <c r="E498" s="194">
        <v>3</v>
      </c>
      <c r="F498" s="194">
        <v>2.1</v>
      </c>
      <c r="G498" s="194">
        <f t="shared" si="413"/>
        <v>0.89999999999999991</v>
      </c>
      <c r="H498" s="176"/>
      <c r="I498" s="178" t="str">
        <f t="shared" si="395"/>
        <v>X</v>
      </c>
      <c r="J498" s="176">
        <f t="shared" si="396"/>
        <v>31.799999999999997</v>
      </c>
      <c r="K498" s="178" t="str">
        <f t="shared" si="397"/>
        <v>X</v>
      </c>
      <c r="L498" s="176">
        <f t="shared" si="398"/>
        <v>22.26</v>
      </c>
      <c r="M498" s="178" t="str">
        <f t="shared" si="399"/>
        <v>X</v>
      </c>
      <c r="N498" s="177">
        <f t="shared" si="400"/>
        <v>9.5399999999999956</v>
      </c>
      <c r="O498" s="178" t="str">
        <f t="shared" si="401"/>
        <v>X</v>
      </c>
      <c r="P498" s="176">
        <f t="shared" si="414"/>
        <v>22.26</v>
      </c>
      <c r="Q498" s="178" t="s">
        <v>0</v>
      </c>
      <c r="R498" s="176"/>
      <c r="S498" s="178" t="s">
        <v>2578</v>
      </c>
      <c r="T498" s="178" t="str">
        <f t="shared" si="402"/>
        <v>X</v>
      </c>
      <c r="U498" s="176">
        <f t="shared" si="415"/>
        <v>9.5399999999999956</v>
      </c>
      <c r="V498" s="178" t="str">
        <f t="shared" si="403"/>
        <v xml:space="preserve"> </v>
      </c>
      <c r="W498" s="176">
        <f t="shared" si="416"/>
        <v>0</v>
      </c>
      <c r="X498" s="178" t="str">
        <f t="shared" si="404"/>
        <v xml:space="preserve"> </v>
      </c>
      <c r="Y498" s="176">
        <f t="shared" si="417"/>
        <v>0</v>
      </c>
      <c r="Z498" s="178" t="s">
        <v>2581</v>
      </c>
      <c r="AA498" s="178" t="str">
        <f t="shared" si="405"/>
        <v>X</v>
      </c>
      <c r="AB498" s="176">
        <f t="shared" si="406"/>
        <v>5.71</v>
      </c>
      <c r="AC498" s="178" t="str">
        <f t="shared" si="407"/>
        <v xml:space="preserve"> </v>
      </c>
      <c r="AD498" s="176">
        <f t="shared" si="408"/>
        <v>0</v>
      </c>
      <c r="AE498" s="178" t="str">
        <f t="shared" si="409"/>
        <v xml:space="preserve"> </v>
      </c>
      <c r="AF498" s="176">
        <f t="shared" si="410"/>
        <v>0</v>
      </c>
      <c r="AG498" s="178" t="str">
        <f t="shared" si="411"/>
        <v/>
      </c>
      <c r="AH498" s="176">
        <f t="shared" si="412"/>
        <v>0</v>
      </c>
    </row>
    <row r="499" spans="2:34" ht="16.5" outlineLevel="1" x14ac:dyDescent="0.25">
      <c r="B499" s="175" t="s">
        <v>2598</v>
      </c>
      <c r="C499" s="176">
        <v>3.28</v>
      </c>
      <c r="D499" s="176">
        <v>7.54</v>
      </c>
      <c r="E499" s="194">
        <v>3</v>
      </c>
      <c r="F499" s="194">
        <v>0</v>
      </c>
      <c r="G499" s="194">
        <f t="shared" si="413"/>
        <v>3</v>
      </c>
      <c r="H499" s="176"/>
      <c r="I499" s="178" t="str">
        <f t="shared" si="395"/>
        <v>X</v>
      </c>
      <c r="J499" s="176">
        <f t="shared" si="396"/>
        <v>22.62</v>
      </c>
      <c r="K499" s="178" t="str">
        <f t="shared" si="397"/>
        <v xml:space="preserve"> </v>
      </c>
      <c r="L499" s="176">
        <f t="shared" si="398"/>
        <v>0</v>
      </c>
      <c r="M499" s="178" t="str">
        <f t="shared" si="399"/>
        <v>X</v>
      </c>
      <c r="N499" s="177">
        <f t="shared" si="400"/>
        <v>22.62</v>
      </c>
      <c r="O499" s="178" t="str">
        <f t="shared" si="401"/>
        <v xml:space="preserve"> </v>
      </c>
      <c r="P499" s="176">
        <v>1</v>
      </c>
      <c r="Q499" s="178" t="s">
        <v>0</v>
      </c>
      <c r="R499" s="176"/>
      <c r="S499" s="178" t="s">
        <v>2578</v>
      </c>
      <c r="T499" s="178" t="str">
        <f t="shared" si="402"/>
        <v>X</v>
      </c>
      <c r="U499" s="176">
        <f t="shared" si="415"/>
        <v>22.62</v>
      </c>
      <c r="V499" s="178" t="str">
        <f t="shared" si="403"/>
        <v xml:space="preserve"> </v>
      </c>
      <c r="W499" s="176">
        <f t="shared" si="416"/>
        <v>0</v>
      </c>
      <c r="X499" s="178" t="str">
        <f t="shared" si="404"/>
        <v xml:space="preserve"> </v>
      </c>
      <c r="Y499" s="176">
        <f t="shared" si="417"/>
        <v>0</v>
      </c>
      <c r="Z499" s="178" t="s">
        <v>2581</v>
      </c>
      <c r="AA499" s="178" t="str">
        <f t="shared" si="405"/>
        <v>X</v>
      </c>
      <c r="AB499" s="176">
        <f t="shared" si="406"/>
        <v>3.28</v>
      </c>
      <c r="AC499" s="178" t="str">
        <f t="shared" si="407"/>
        <v xml:space="preserve"> </v>
      </c>
      <c r="AD499" s="176">
        <f t="shared" si="408"/>
        <v>0</v>
      </c>
      <c r="AE499" s="178" t="str">
        <f t="shared" si="409"/>
        <v xml:space="preserve"> </v>
      </c>
      <c r="AF499" s="176">
        <f t="shared" si="410"/>
        <v>0</v>
      </c>
      <c r="AG499" s="178" t="str">
        <f t="shared" si="411"/>
        <v>X</v>
      </c>
      <c r="AH499" s="176">
        <f t="shared" si="412"/>
        <v>7.54</v>
      </c>
    </row>
    <row r="500" spans="2:34" ht="16.5" outlineLevel="1" x14ac:dyDescent="0.25">
      <c r="B500" s="175" t="s">
        <v>2648</v>
      </c>
      <c r="C500" s="176">
        <v>28.92</v>
      </c>
      <c r="D500" s="176">
        <v>22.31</v>
      </c>
      <c r="E500" s="194">
        <v>3</v>
      </c>
      <c r="F500" s="194">
        <v>0</v>
      </c>
      <c r="G500" s="194">
        <f t="shared" si="413"/>
        <v>3</v>
      </c>
      <c r="H500" s="176"/>
      <c r="I500" s="178" t="str">
        <f t="shared" si="395"/>
        <v>X</v>
      </c>
      <c r="J500" s="176">
        <f t="shared" si="396"/>
        <v>66.929999999999993</v>
      </c>
      <c r="K500" s="178" t="str">
        <f t="shared" si="397"/>
        <v xml:space="preserve"> </v>
      </c>
      <c r="L500" s="176">
        <f t="shared" si="398"/>
        <v>0</v>
      </c>
      <c r="M500" s="178" t="str">
        <f t="shared" si="399"/>
        <v>X</v>
      </c>
      <c r="N500" s="177">
        <f t="shared" si="400"/>
        <v>66.929999999999993</v>
      </c>
      <c r="O500" s="178" t="str">
        <f t="shared" si="401"/>
        <v xml:space="preserve"> </v>
      </c>
      <c r="P500" s="176">
        <v>1</v>
      </c>
      <c r="Q500" s="178" t="s">
        <v>0</v>
      </c>
      <c r="R500" s="176"/>
      <c r="S500" s="178" t="s">
        <v>2578</v>
      </c>
      <c r="T500" s="178" t="str">
        <f t="shared" si="402"/>
        <v>X</v>
      </c>
      <c r="U500" s="176">
        <f t="shared" si="415"/>
        <v>66.929999999999993</v>
      </c>
      <c r="V500" s="178" t="str">
        <f t="shared" si="403"/>
        <v xml:space="preserve"> </v>
      </c>
      <c r="W500" s="176">
        <f t="shared" si="416"/>
        <v>0</v>
      </c>
      <c r="X500" s="178" t="str">
        <f t="shared" si="404"/>
        <v xml:space="preserve"> </v>
      </c>
      <c r="Y500" s="176">
        <f t="shared" si="417"/>
        <v>0</v>
      </c>
      <c r="Z500" s="178" t="s">
        <v>2581</v>
      </c>
      <c r="AA500" s="178" t="str">
        <f t="shared" si="405"/>
        <v>X</v>
      </c>
      <c r="AB500" s="176">
        <f t="shared" si="406"/>
        <v>28.92</v>
      </c>
      <c r="AC500" s="178" t="str">
        <f t="shared" si="407"/>
        <v xml:space="preserve"> </v>
      </c>
      <c r="AD500" s="176">
        <f t="shared" si="408"/>
        <v>0</v>
      </c>
      <c r="AE500" s="178" t="str">
        <f t="shared" si="409"/>
        <v xml:space="preserve"> </v>
      </c>
      <c r="AF500" s="176">
        <f t="shared" si="410"/>
        <v>0</v>
      </c>
      <c r="AG500" s="178" t="str">
        <f t="shared" si="411"/>
        <v>X</v>
      </c>
      <c r="AH500" s="176">
        <f t="shared" si="412"/>
        <v>22.31</v>
      </c>
    </row>
    <row r="501" spans="2:34" ht="16.5" outlineLevel="1" x14ac:dyDescent="0.25">
      <c r="B501" s="175" t="s">
        <v>2649</v>
      </c>
      <c r="C501" s="176">
        <v>5.18</v>
      </c>
      <c r="D501" s="176">
        <v>9.99</v>
      </c>
      <c r="E501" s="194">
        <v>3</v>
      </c>
      <c r="F501" s="194">
        <v>2.1</v>
      </c>
      <c r="G501" s="194">
        <f t="shared" si="413"/>
        <v>0.89999999999999991</v>
      </c>
      <c r="H501" s="176"/>
      <c r="I501" s="178" t="str">
        <f t="shared" si="395"/>
        <v>X</v>
      </c>
      <c r="J501" s="176">
        <f t="shared" si="396"/>
        <v>29.97</v>
      </c>
      <c r="K501" s="178" t="str">
        <f t="shared" si="397"/>
        <v>X</v>
      </c>
      <c r="L501" s="176">
        <f t="shared" si="398"/>
        <v>20.979000000000003</v>
      </c>
      <c r="M501" s="178" t="str">
        <f t="shared" si="399"/>
        <v>X</v>
      </c>
      <c r="N501" s="177">
        <f t="shared" si="400"/>
        <v>8.9909999999999961</v>
      </c>
      <c r="O501" s="178" t="str">
        <f t="shared" si="401"/>
        <v>X</v>
      </c>
      <c r="P501" s="176">
        <f t="shared" si="414"/>
        <v>20.979000000000003</v>
      </c>
      <c r="Q501" s="178" t="s">
        <v>0</v>
      </c>
      <c r="R501" s="176"/>
      <c r="S501" s="178" t="s">
        <v>2578</v>
      </c>
      <c r="T501" s="178" t="str">
        <f t="shared" si="402"/>
        <v>X</v>
      </c>
      <c r="U501" s="176">
        <f t="shared" si="415"/>
        <v>8.9909999999999961</v>
      </c>
      <c r="V501" s="178" t="str">
        <f t="shared" si="403"/>
        <v xml:space="preserve"> </v>
      </c>
      <c r="W501" s="176">
        <f t="shared" si="416"/>
        <v>0</v>
      </c>
      <c r="X501" s="178" t="str">
        <f t="shared" si="404"/>
        <v xml:space="preserve"> </v>
      </c>
      <c r="Y501" s="176">
        <f t="shared" si="417"/>
        <v>0</v>
      </c>
      <c r="Z501" s="178" t="s">
        <v>2581</v>
      </c>
      <c r="AA501" s="178" t="str">
        <f t="shared" si="405"/>
        <v>X</v>
      </c>
      <c r="AB501" s="176">
        <f t="shared" si="406"/>
        <v>5.18</v>
      </c>
      <c r="AC501" s="178" t="str">
        <f t="shared" si="407"/>
        <v xml:space="preserve"> </v>
      </c>
      <c r="AD501" s="176">
        <f t="shared" si="408"/>
        <v>0</v>
      </c>
      <c r="AE501" s="178" t="str">
        <f t="shared" si="409"/>
        <v xml:space="preserve"> </v>
      </c>
      <c r="AF501" s="176">
        <f t="shared" si="410"/>
        <v>0</v>
      </c>
      <c r="AG501" s="178" t="str">
        <f t="shared" si="411"/>
        <v/>
      </c>
      <c r="AH501" s="176">
        <f t="shared" si="412"/>
        <v>0</v>
      </c>
    </row>
    <row r="502" spans="2:34" ht="16.5" x14ac:dyDescent="0.25">
      <c r="B502" s="182"/>
      <c r="C502" s="185"/>
      <c r="D502" s="185"/>
      <c r="E502" s="185"/>
      <c r="F502" s="185"/>
      <c r="G502" s="185"/>
      <c r="H502" s="185"/>
      <c r="I502" s="184"/>
      <c r="J502" s="185"/>
      <c r="K502" s="184"/>
      <c r="L502" s="185"/>
      <c r="M502" s="184"/>
      <c r="N502" s="185"/>
      <c r="O502" s="201"/>
      <c r="P502" s="185"/>
      <c r="Q502" s="184"/>
      <c r="R502" s="189"/>
      <c r="S502" s="185"/>
      <c r="T502" s="184"/>
      <c r="U502" s="185"/>
      <c r="V502" s="184"/>
      <c r="W502" s="185"/>
      <c r="X502" s="184"/>
      <c r="Y502" s="189"/>
      <c r="Z502" s="185"/>
      <c r="AA502" s="184"/>
      <c r="AB502" s="185"/>
      <c r="AC502" s="184"/>
      <c r="AD502" s="185"/>
      <c r="AE502" s="184"/>
      <c r="AF502" s="189"/>
      <c r="AG502" s="184"/>
      <c r="AH502" s="189"/>
    </row>
    <row r="503" spans="2:34" ht="16.5" x14ac:dyDescent="0.25">
      <c r="B503" s="929" t="s">
        <v>2840</v>
      </c>
      <c r="C503" s="930"/>
      <c r="D503" s="930"/>
      <c r="E503" s="930"/>
      <c r="F503" s="930"/>
      <c r="G503" s="930"/>
      <c r="H503" s="931"/>
      <c r="I503" s="190" t="s">
        <v>2586</v>
      </c>
      <c r="J503" s="191">
        <f>SUBTOTAL(9,J504:J523)</f>
        <v>1381.7400000000002</v>
      </c>
      <c r="K503" s="192" t="s">
        <v>2586</v>
      </c>
      <c r="L503" s="191">
        <f>SUBTOTAL(9,L504:L523)</f>
        <v>135.21899999999999</v>
      </c>
      <c r="M503" s="190" t="s">
        <v>2586</v>
      </c>
      <c r="N503" s="200">
        <f>SUBTOTAL(9,N504:N523)</f>
        <v>1246.5210000000002</v>
      </c>
      <c r="O503" s="190" t="s">
        <v>2586</v>
      </c>
      <c r="P503" s="191">
        <f>SUBTOTAL(9,P504:P523)</f>
        <v>135.21899999999999</v>
      </c>
      <c r="Q503" s="190" t="s">
        <v>2586</v>
      </c>
      <c r="R503" s="191">
        <f>SUBTOTAL(9,R504:R523)</f>
        <v>0</v>
      </c>
      <c r="S503" s="191"/>
      <c r="T503" s="190" t="s">
        <v>2586</v>
      </c>
      <c r="U503" s="200">
        <f>SUBTOTAL(9,U504:U523)</f>
        <v>1098.2310000000002</v>
      </c>
      <c r="V503" s="190" t="s">
        <v>2586</v>
      </c>
      <c r="W503" s="191">
        <f>SUBTOTAL(9,W504:W523)</f>
        <v>0</v>
      </c>
      <c r="X503" s="190" t="s">
        <v>2586</v>
      </c>
      <c r="Y503" s="191">
        <f>SUBTOTAL(9,Y504:Y523)</f>
        <v>148.29</v>
      </c>
      <c r="Z503" s="191"/>
      <c r="AA503" s="190" t="s">
        <v>2586</v>
      </c>
      <c r="AB503" s="200">
        <f>SUBTOTAL(9,AB504:AB523)</f>
        <v>779.95</v>
      </c>
      <c r="AC503" s="190" t="s">
        <v>2586</v>
      </c>
      <c r="AD503" s="191">
        <f>SUBTOTAL(9,AD504:AD523)</f>
        <v>29.28</v>
      </c>
      <c r="AE503" s="190" t="s">
        <v>2586</v>
      </c>
      <c r="AF503" s="191">
        <f>SUBTOTAL(9,AF504:AF523)</f>
        <v>15.1</v>
      </c>
      <c r="AG503" s="190" t="s">
        <v>2586</v>
      </c>
      <c r="AH503" s="191">
        <f>SUBTOTAL(9,AH504:AH523)</f>
        <v>396.19000000000005</v>
      </c>
    </row>
    <row r="504" spans="2:34" ht="16.5" outlineLevel="1" x14ac:dyDescent="0.25">
      <c r="B504" s="175" t="s">
        <v>2841</v>
      </c>
      <c r="C504" s="176">
        <v>107.15</v>
      </c>
      <c r="D504" s="176">
        <v>49.37</v>
      </c>
      <c r="E504" s="194">
        <v>3</v>
      </c>
      <c r="F504" s="194">
        <v>0</v>
      </c>
      <c r="G504" s="194">
        <f>E504-F504</f>
        <v>3</v>
      </c>
      <c r="H504" s="176">
        <f>15.49+2.2</f>
        <v>17.690000000000001</v>
      </c>
      <c r="I504" s="178" t="str">
        <f t="shared" ref="I504:I522" si="418">IF($E504&gt;0,"X"," ")</f>
        <v>X</v>
      </c>
      <c r="J504" s="176">
        <f t="shared" ref="J504:J518" si="419">IF(I504="X",($D504-H504)*E504,0)</f>
        <v>95.039999999999992</v>
      </c>
      <c r="K504" s="178" t="str">
        <f t="shared" ref="K504:K522" si="420">IF($F504&gt;0,"X"," ")</f>
        <v xml:space="preserve"> </v>
      </c>
      <c r="L504" s="176">
        <f t="shared" ref="L504:L518" si="421">IF(K504="X",($D504-H504)*F504,0)</f>
        <v>0</v>
      </c>
      <c r="M504" s="178" t="str">
        <f t="shared" ref="M504:M522" si="422">IF($E504&gt;0,"X"," ")</f>
        <v>X</v>
      </c>
      <c r="N504" s="177">
        <f t="shared" ref="N504:N518" si="423">IF(M504="X",J504-L504,0)</f>
        <v>95.039999999999992</v>
      </c>
      <c r="O504" s="178" t="str">
        <f t="shared" ref="O504:O522" si="424">IF($F504&gt;0,"X"," ")</f>
        <v xml:space="preserve"> </v>
      </c>
      <c r="P504" s="176">
        <f t="shared" ref="P504:P522" si="425">IF(L504&gt;0,L504,0)</f>
        <v>0</v>
      </c>
      <c r="Q504" s="178" t="s">
        <v>0</v>
      </c>
      <c r="R504" s="176"/>
      <c r="S504" s="178" t="s">
        <v>2580</v>
      </c>
      <c r="T504" s="178" t="str">
        <f t="shared" ref="T504:T523" si="426">IF($S504="ACRÍLICA","X"," ")</f>
        <v xml:space="preserve"> </v>
      </c>
      <c r="U504" s="176">
        <f>IF(T504="X",$N504,0)</f>
        <v>0</v>
      </c>
      <c r="V504" s="178" t="str">
        <f t="shared" ref="V504:V523" si="427">IF($S504="EPÓXI","X"," ")</f>
        <v xml:space="preserve"> </v>
      </c>
      <c r="W504" s="176">
        <f>IF(V504="X",$N504,0)</f>
        <v>0</v>
      </c>
      <c r="X504" s="178" t="str">
        <f t="shared" ref="X504:X523" si="428">IF($S504="TEXTURA","X"," ")</f>
        <v>X</v>
      </c>
      <c r="Y504" s="176">
        <f>IF(X504="X",$N504,0)</f>
        <v>95.039999999999992</v>
      </c>
      <c r="Z504" s="178" t="s">
        <v>2581</v>
      </c>
      <c r="AA504" s="178" t="str">
        <f t="shared" ref="AA504:AA523" si="429">IF($Z504="ACARTONADO","X"," ")</f>
        <v>X</v>
      </c>
      <c r="AB504" s="176">
        <f t="shared" ref="AB504:AB523" si="430">IF(AA504="X",$C504,0)</f>
        <v>107.15</v>
      </c>
      <c r="AC504" s="178" t="str">
        <f t="shared" ref="AC504:AC523" si="431">IF($Z504="MINERAL","X"," ")</f>
        <v xml:space="preserve"> </v>
      </c>
      <c r="AD504" s="176">
        <f t="shared" ref="AD504:AD523" si="432">IF(AC504="X",$C504,0)</f>
        <v>0</v>
      </c>
      <c r="AE504" s="178" t="str">
        <f t="shared" ref="AE504:AE523" si="433">IF($Z504="LAJE","X"," ")</f>
        <v xml:space="preserve"> </v>
      </c>
      <c r="AF504" s="176">
        <f t="shared" ref="AF504:AF523" si="434">IF(AE504="X",$C504,0)</f>
        <v>0</v>
      </c>
      <c r="AG504" s="178" t="str">
        <f t="shared" ref="AG504:AG523" si="435">IF(K504="X","","X")</f>
        <v>X</v>
      </c>
      <c r="AH504" s="176">
        <f t="shared" ref="AH504:AH523" si="436">IF(AG504="X",$D504-H504,0)</f>
        <v>31.679999999999996</v>
      </c>
    </row>
    <row r="505" spans="2:34" ht="16.5" outlineLevel="1" x14ac:dyDescent="0.25">
      <c r="B505" s="175" t="s">
        <v>2842</v>
      </c>
      <c r="C505" s="176">
        <v>14.65</v>
      </c>
      <c r="D505" s="176">
        <v>16.309999999999999</v>
      </c>
      <c r="E505" s="194">
        <v>3</v>
      </c>
      <c r="F505" s="194">
        <v>2.1</v>
      </c>
      <c r="G505" s="194">
        <f t="shared" ref="G505:G523" si="437">E505-F505</f>
        <v>0.89999999999999991</v>
      </c>
      <c r="H505" s="176"/>
      <c r="I505" s="178" t="str">
        <f t="shared" si="418"/>
        <v>X</v>
      </c>
      <c r="J505" s="176">
        <f t="shared" si="419"/>
        <v>48.929999999999993</v>
      </c>
      <c r="K505" s="178" t="str">
        <f t="shared" si="420"/>
        <v>X</v>
      </c>
      <c r="L505" s="176">
        <f t="shared" si="421"/>
        <v>34.250999999999998</v>
      </c>
      <c r="M505" s="178" t="str">
        <f t="shared" si="422"/>
        <v>X</v>
      </c>
      <c r="N505" s="177">
        <f t="shared" si="423"/>
        <v>14.678999999999995</v>
      </c>
      <c r="O505" s="178" t="str">
        <f t="shared" si="424"/>
        <v>X</v>
      </c>
      <c r="P505" s="176">
        <f t="shared" si="425"/>
        <v>34.250999999999998</v>
      </c>
      <c r="Q505" s="178" t="s">
        <v>0</v>
      </c>
      <c r="R505" s="176"/>
      <c r="S505" s="178" t="s">
        <v>2578</v>
      </c>
      <c r="T505" s="178" t="str">
        <f t="shared" si="426"/>
        <v>X</v>
      </c>
      <c r="U505" s="176">
        <f t="shared" ref="U505:U523" si="438">IF(T505="X",$N505,0)</f>
        <v>14.678999999999995</v>
      </c>
      <c r="V505" s="178" t="str">
        <f t="shared" si="427"/>
        <v xml:space="preserve"> </v>
      </c>
      <c r="W505" s="176">
        <f t="shared" ref="W505:W523" si="439">IF(V505="X",$N505,0)</f>
        <v>0</v>
      </c>
      <c r="X505" s="178" t="str">
        <f t="shared" si="428"/>
        <v xml:space="preserve"> </v>
      </c>
      <c r="Y505" s="176">
        <f t="shared" ref="Y505:Y523" si="440">IF(X505="X",$N505,0)</f>
        <v>0</v>
      </c>
      <c r="Z505" s="178" t="s">
        <v>2581</v>
      </c>
      <c r="AA505" s="178" t="str">
        <f t="shared" si="429"/>
        <v>X</v>
      </c>
      <c r="AB505" s="176">
        <f t="shared" si="430"/>
        <v>14.65</v>
      </c>
      <c r="AC505" s="178" t="str">
        <f t="shared" si="431"/>
        <v xml:space="preserve"> </v>
      </c>
      <c r="AD505" s="176">
        <f t="shared" si="432"/>
        <v>0</v>
      </c>
      <c r="AE505" s="178" t="str">
        <f t="shared" si="433"/>
        <v xml:space="preserve"> </v>
      </c>
      <c r="AF505" s="176">
        <f t="shared" si="434"/>
        <v>0</v>
      </c>
      <c r="AG505" s="178" t="str">
        <f t="shared" si="435"/>
        <v/>
      </c>
      <c r="AH505" s="176">
        <f t="shared" si="436"/>
        <v>0</v>
      </c>
    </row>
    <row r="506" spans="2:34" ht="16.5" outlineLevel="1" x14ac:dyDescent="0.25">
      <c r="B506" s="175" t="s">
        <v>2591</v>
      </c>
      <c r="C506" s="176">
        <v>2.85</v>
      </c>
      <c r="D506" s="176">
        <v>7.7</v>
      </c>
      <c r="E506" s="194">
        <v>3</v>
      </c>
      <c r="F506" s="194">
        <v>2.1</v>
      </c>
      <c r="G506" s="194">
        <f t="shared" si="437"/>
        <v>0.89999999999999991</v>
      </c>
      <c r="H506" s="176"/>
      <c r="I506" s="178" t="str">
        <f t="shared" si="418"/>
        <v>X</v>
      </c>
      <c r="J506" s="176">
        <f t="shared" si="419"/>
        <v>23.1</v>
      </c>
      <c r="K506" s="178" t="str">
        <f t="shared" si="420"/>
        <v>X</v>
      </c>
      <c r="L506" s="176">
        <f t="shared" si="421"/>
        <v>16.170000000000002</v>
      </c>
      <c r="M506" s="178" t="str">
        <f t="shared" si="422"/>
        <v>X</v>
      </c>
      <c r="N506" s="177">
        <f t="shared" si="423"/>
        <v>6.93</v>
      </c>
      <c r="O506" s="178" t="str">
        <f t="shared" si="424"/>
        <v>X</v>
      </c>
      <c r="P506" s="176">
        <f t="shared" si="425"/>
        <v>16.170000000000002</v>
      </c>
      <c r="Q506" s="178" t="s">
        <v>0</v>
      </c>
      <c r="R506" s="176"/>
      <c r="S506" s="178" t="s">
        <v>2578</v>
      </c>
      <c r="T506" s="178" t="str">
        <f t="shared" si="426"/>
        <v>X</v>
      </c>
      <c r="U506" s="176">
        <f t="shared" si="438"/>
        <v>6.93</v>
      </c>
      <c r="V506" s="178" t="str">
        <f t="shared" si="427"/>
        <v xml:space="preserve"> </v>
      </c>
      <c r="W506" s="176">
        <f t="shared" si="439"/>
        <v>0</v>
      </c>
      <c r="X506" s="178" t="str">
        <f t="shared" si="428"/>
        <v xml:space="preserve"> </v>
      </c>
      <c r="Y506" s="176">
        <f t="shared" si="440"/>
        <v>0</v>
      </c>
      <c r="Z506" s="178" t="s">
        <v>2581</v>
      </c>
      <c r="AA506" s="178" t="str">
        <f t="shared" si="429"/>
        <v>X</v>
      </c>
      <c r="AB506" s="176">
        <f t="shared" si="430"/>
        <v>2.85</v>
      </c>
      <c r="AC506" s="178" t="str">
        <f t="shared" si="431"/>
        <v xml:space="preserve"> </v>
      </c>
      <c r="AD506" s="176">
        <f t="shared" si="432"/>
        <v>0</v>
      </c>
      <c r="AE506" s="178" t="str">
        <f t="shared" si="433"/>
        <v xml:space="preserve"> </v>
      </c>
      <c r="AF506" s="176">
        <f t="shared" si="434"/>
        <v>0</v>
      </c>
      <c r="AG506" s="178" t="str">
        <f t="shared" si="435"/>
        <v/>
      </c>
      <c r="AH506" s="176">
        <f t="shared" si="436"/>
        <v>0</v>
      </c>
    </row>
    <row r="507" spans="2:34" ht="16.5" outlineLevel="1" x14ac:dyDescent="0.25">
      <c r="B507" s="175" t="s">
        <v>2843</v>
      </c>
      <c r="C507" s="176">
        <v>14.72</v>
      </c>
      <c r="D507" s="176">
        <v>16.059999999999999</v>
      </c>
      <c r="E507" s="194">
        <v>3</v>
      </c>
      <c r="F507" s="194">
        <v>2.1</v>
      </c>
      <c r="G507" s="194">
        <f t="shared" si="437"/>
        <v>0.89999999999999991</v>
      </c>
      <c r="H507" s="176"/>
      <c r="I507" s="178" t="str">
        <f t="shared" si="418"/>
        <v>X</v>
      </c>
      <c r="J507" s="176">
        <f t="shared" si="419"/>
        <v>48.179999999999993</v>
      </c>
      <c r="K507" s="178" t="str">
        <f t="shared" si="420"/>
        <v>X</v>
      </c>
      <c r="L507" s="176">
        <f t="shared" si="421"/>
        <v>33.725999999999999</v>
      </c>
      <c r="M507" s="178" t="str">
        <f t="shared" si="422"/>
        <v>X</v>
      </c>
      <c r="N507" s="177">
        <f t="shared" si="423"/>
        <v>14.453999999999994</v>
      </c>
      <c r="O507" s="178" t="str">
        <f t="shared" si="424"/>
        <v>X</v>
      </c>
      <c r="P507" s="176">
        <f t="shared" si="425"/>
        <v>33.725999999999999</v>
      </c>
      <c r="Q507" s="178" t="s">
        <v>0</v>
      </c>
      <c r="R507" s="176"/>
      <c r="S507" s="178" t="s">
        <v>2578</v>
      </c>
      <c r="T507" s="178" t="str">
        <f t="shared" si="426"/>
        <v>X</v>
      </c>
      <c r="U507" s="176">
        <f t="shared" si="438"/>
        <v>14.453999999999994</v>
      </c>
      <c r="V507" s="178" t="str">
        <f t="shared" si="427"/>
        <v xml:space="preserve"> </v>
      </c>
      <c r="W507" s="176">
        <f t="shared" si="439"/>
        <v>0</v>
      </c>
      <c r="X507" s="178" t="str">
        <f t="shared" si="428"/>
        <v xml:space="preserve"> </v>
      </c>
      <c r="Y507" s="176">
        <f t="shared" si="440"/>
        <v>0</v>
      </c>
      <c r="Z507" s="178" t="s">
        <v>2581</v>
      </c>
      <c r="AA507" s="178" t="str">
        <f t="shared" si="429"/>
        <v>X</v>
      </c>
      <c r="AB507" s="176">
        <f t="shared" si="430"/>
        <v>14.72</v>
      </c>
      <c r="AC507" s="178" t="str">
        <f t="shared" si="431"/>
        <v xml:space="preserve"> </v>
      </c>
      <c r="AD507" s="176">
        <f t="shared" si="432"/>
        <v>0</v>
      </c>
      <c r="AE507" s="178" t="str">
        <f t="shared" si="433"/>
        <v xml:space="preserve"> </v>
      </c>
      <c r="AF507" s="176">
        <f t="shared" si="434"/>
        <v>0</v>
      </c>
      <c r="AG507" s="178" t="str">
        <f t="shared" si="435"/>
        <v/>
      </c>
      <c r="AH507" s="176">
        <f t="shared" si="436"/>
        <v>0</v>
      </c>
    </row>
    <row r="508" spans="2:34" ht="16.5" outlineLevel="1" x14ac:dyDescent="0.25">
      <c r="B508" s="175" t="s">
        <v>2611</v>
      </c>
      <c r="C508" s="176">
        <v>3.47</v>
      </c>
      <c r="D508" s="176">
        <v>8.6999999999999993</v>
      </c>
      <c r="E508" s="194">
        <v>3</v>
      </c>
      <c r="F508" s="194">
        <v>0</v>
      </c>
      <c r="G508" s="194">
        <f t="shared" si="437"/>
        <v>3</v>
      </c>
      <c r="H508" s="176"/>
      <c r="I508" s="178" t="str">
        <f t="shared" si="418"/>
        <v>X</v>
      </c>
      <c r="J508" s="176">
        <f t="shared" si="419"/>
        <v>26.099999999999998</v>
      </c>
      <c r="K508" s="178" t="str">
        <f t="shared" si="420"/>
        <v xml:space="preserve"> </v>
      </c>
      <c r="L508" s="176">
        <f t="shared" si="421"/>
        <v>0</v>
      </c>
      <c r="M508" s="178" t="str">
        <f t="shared" si="422"/>
        <v>X</v>
      </c>
      <c r="N508" s="177">
        <f t="shared" si="423"/>
        <v>26.099999999999998</v>
      </c>
      <c r="O508" s="178" t="str">
        <f t="shared" si="424"/>
        <v xml:space="preserve"> </v>
      </c>
      <c r="P508" s="176">
        <f t="shared" si="425"/>
        <v>0</v>
      </c>
      <c r="Q508" s="178" t="s">
        <v>0</v>
      </c>
      <c r="R508" s="176"/>
      <c r="S508" s="178" t="s">
        <v>2578</v>
      </c>
      <c r="T508" s="178" t="str">
        <f t="shared" si="426"/>
        <v>X</v>
      </c>
      <c r="U508" s="176">
        <f t="shared" si="438"/>
        <v>26.099999999999998</v>
      </c>
      <c r="V508" s="178" t="str">
        <f t="shared" si="427"/>
        <v xml:space="preserve"> </v>
      </c>
      <c r="W508" s="176">
        <f t="shared" si="439"/>
        <v>0</v>
      </c>
      <c r="X508" s="178" t="str">
        <f t="shared" si="428"/>
        <v xml:space="preserve"> </v>
      </c>
      <c r="Y508" s="176">
        <f t="shared" si="440"/>
        <v>0</v>
      </c>
      <c r="Z508" s="178" t="s">
        <v>2581</v>
      </c>
      <c r="AA508" s="178" t="str">
        <f t="shared" si="429"/>
        <v>X</v>
      </c>
      <c r="AB508" s="176">
        <f t="shared" si="430"/>
        <v>3.47</v>
      </c>
      <c r="AC508" s="178" t="str">
        <f t="shared" si="431"/>
        <v xml:space="preserve"> </v>
      </c>
      <c r="AD508" s="176">
        <f t="shared" si="432"/>
        <v>0</v>
      </c>
      <c r="AE508" s="178" t="str">
        <f t="shared" si="433"/>
        <v xml:space="preserve"> </v>
      </c>
      <c r="AF508" s="176">
        <f t="shared" si="434"/>
        <v>0</v>
      </c>
      <c r="AG508" s="178" t="str">
        <f t="shared" si="435"/>
        <v>X</v>
      </c>
      <c r="AH508" s="176">
        <f t="shared" si="436"/>
        <v>8.6999999999999993</v>
      </c>
    </row>
    <row r="509" spans="2:34" ht="16.5" outlineLevel="1" x14ac:dyDescent="0.25">
      <c r="B509" s="175" t="s">
        <v>2844</v>
      </c>
      <c r="C509" s="176">
        <v>101.84</v>
      </c>
      <c r="D509" s="176">
        <v>65.290000000000006</v>
      </c>
      <c r="E509" s="194">
        <v>3</v>
      </c>
      <c r="F509" s="194">
        <v>0</v>
      </c>
      <c r="G509" s="194">
        <f t="shared" si="437"/>
        <v>3</v>
      </c>
      <c r="H509" s="176"/>
      <c r="I509" s="178" t="str">
        <f t="shared" si="418"/>
        <v>X</v>
      </c>
      <c r="J509" s="176">
        <f t="shared" si="419"/>
        <v>195.87</v>
      </c>
      <c r="K509" s="178" t="str">
        <f t="shared" si="420"/>
        <v xml:space="preserve"> </v>
      </c>
      <c r="L509" s="176">
        <f t="shared" si="421"/>
        <v>0</v>
      </c>
      <c r="M509" s="178" t="str">
        <f t="shared" si="422"/>
        <v>X</v>
      </c>
      <c r="N509" s="177">
        <f t="shared" si="423"/>
        <v>195.87</v>
      </c>
      <c r="O509" s="178" t="str">
        <f t="shared" si="424"/>
        <v xml:space="preserve"> </v>
      </c>
      <c r="P509" s="176">
        <f t="shared" si="425"/>
        <v>0</v>
      </c>
      <c r="Q509" s="178" t="s">
        <v>0</v>
      </c>
      <c r="R509" s="176"/>
      <c r="S509" s="178" t="s">
        <v>2578</v>
      </c>
      <c r="T509" s="178" t="str">
        <f t="shared" si="426"/>
        <v>X</v>
      </c>
      <c r="U509" s="176">
        <f t="shared" si="438"/>
        <v>195.87</v>
      </c>
      <c r="V509" s="178" t="str">
        <f t="shared" si="427"/>
        <v xml:space="preserve"> </v>
      </c>
      <c r="W509" s="176">
        <f t="shared" si="439"/>
        <v>0</v>
      </c>
      <c r="X509" s="178" t="str">
        <f t="shared" si="428"/>
        <v xml:space="preserve"> </v>
      </c>
      <c r="Y509" s="176">
        <f t="shared" si="440"/>
        <v>0</v>
      </c>
      <c r="Z509" s="178" t="s">
        <v>2581</v>
      </c>
      <c r="AA509" s="178" t="str">
        <f t="shared" si="429"/>
        <v>X</v>
      </c>
      <c r="AB509" s="176">
        <f t="shared" si="430"/>
        <v>101.84</v>
      </c>
      <c r="AC509" s="178" t="str">
        <f t="shared" si="431"/>
        <v xml:space="preserve"> </v>
      </c>
      <c r="AD509" s="176">
        <f t="shared" si="432"/>
        <v>0</v>
      </c>
      <c r="AE509" s="178" t="str">
        <f t="shared" si="433"/>
        <v xml:space="preserve"> </v>
      </c>
      <c r="AF509" s="176">
        <f t="shared" si="434"/>
        <v>0</v>
      </c>
      <c r="AG509" s="178" t="str">
        <f t="shared" si="435"/>
        <v>X</v>
      </c>
      <c r="AH509" s="176">
        <f t="shared" si="436"/>
        <v>65.290000000000006</v>
      </c>
    </row>
    <row r="510" spans="2:34" ht="16.5" outlineLevel="1" x14ac:dyDescent="0.25">
      <c r="B510" s="175" t="s">
        <v>2845</v>
      </c>
      <c r="C510" s="176">
        <v>5.0199999999999996</v>
      </c>
      <c r="D510" s="176">
        <v>8.9600000000000009</v>
      </c>
      <c r="E510" s="194">
        <v>3</v>
      </c>
      <c r="F510" s="194">
        <v>2.1</v>
      </c>
      <c r="G510" s="194">
        <f t="shared" si="437"/>
        <v>0.89999999999999991</v>
      </c>
      <c r="H510" s="176"/>
      <c r="I510" s="178" t="str">
        <f t="shared" si="418"/>
        <v>X</v>
      </c>
      <c r="J510" s="176">
        <f t="shared" si="419"/>
        <v>26.880000000000003</v>
      </c>
      <c r="K510" s="178" t="str">
        <f t="shared" si="420"/>
        <v>X</v>
      </c>
      <c r="L510" s="176">
        <f t="shared" si="421"/>
        <v>18.816000000000003</v>
      </c>
      <c r="M510" s="178" t="str">
        <f t="shared" si="422"/>
        <v>X</v>
      </c>
      <c r="N510" s="177">
        <f t="shared" si="423"/>
        <v>8.0640000000000001</v>
      </c>
      <c r="O510" s="178" t="str">
        <f t="shared" si="424"/>
        <v>X</v>
      </c>
      <c r="P510" s="176">
        <f t="shared" si="425"/>
        <v>18.816000000000003</v>
      </c>
      <c r="Q510" s="178" t="s">
        <v>0</v>
      </c>
      <c r="R510" s="176"/>
      <c r="S510" s="178" t="s">
        <v>2578</v>
      </c>
      <c r="T510" s="178" t="str">
        <f t="shared" si="426"/>
        <v>X</v>
      </c>
      <c r="U510" s="176">
        <f t="shared" si="438"/>
        <v>8.0640000000000001</v>
      </c>
      <c r="V510" s="178" t="str">
        <f t="shared" si="427"/>
        <v xml:space="preserve"> </v>
      </c>
      <c r="W510" s="176">
        <f t="shared" si="439"/>
        <v>0</v>
      </c>
      <c r="X510" s="178" t="str">
        <f t="shared" si="428"/>
        <v xml:space="preserve"> </v>
      </c>
      <c r="Y510" s="176">
        <f t="shared" si="440"/>
        <v>0</v>
      </c>
      <c r="Z510" s="178" t="s">
        <v>2581</v>
      </c>
      <c r="AA510" s="178" t="str">
        <f t="shared" si="429"/>
        <v>X</v>
      </c>
      <c r="AB510" s="176">
        <f t="shared" si="430"/>
        <v>5.0199999999999996</v>
      </c>
      <c r="AC510" s="178" t="str">
        <f t="shared" si="431"/>
        <v xml:space="preserve"> </v>
      </c>
      <c r="AD510" s="176">
        <f t="shared" si="432"/>
        <v>0</v>
      </c>
      <c r="AE510" s="178" t="str">
        <f t="shared" si="433"/>
        <v xml:space="preserve"> </v>
      </c>
      <c r="AF510" s="176">
        <f t="shared" si="434"/>
        <v>0</v>
      </c>
      <c r="AG510" s="178" t="str">
        <f t="shared" si="435"/>
        <v/>
      </c>
      <c r="AH510" s="176">
        <f t="shared" si="436"/>
        <v>0</v>
      </c>
    </row>
    <row r="511" spans="2:34" ht="16.5" outlineLevel="1" x14ac:dyDescent="0.25">
      <c r="B511" s="175" t="s">
        <v>2846</v>
      </c>
      <c r="C511" s="176">
        <v>5.0199999999999996</v>
      </c>
      <c r="D511" s="176">
        <v>8.9600000000000009</v>
      </c>
      <c r="E511" s="194">
        <v>3</v>
      </c>
      <c r="F511" s="194">
        <v>2.1</v>
      </c>
      <c r="G511" s="194">
        <f t="shared" si="437"/>
        <v>0.89999999999999991</v>
      </c>
      <c r="H511" s="176"/>
      <c r="I511" s="178" t="str">
        <f t="shared" si="418"/>
        <v>X</v>
      </c>
      <c r="J511" s="176">
        <f t="shared" si="419"/>
        <v>26.880000000000003</v>
      </c>
      <c r="K511" s="178" t="str">
        <f t="shared" si="420"/>
        <v>X</v>
      </c>
      <c r="L511" s="176">
        <f t="shared" si="421"/>
        <v>18.816000000000003</v>
      </c>
      <c r="M511" s="178" t="str">
        <f t="shared" si="422"/>
        <v>X</v>
      </c>
      <c r="N511" s="177">
        <f t="shared" si="423"/>
        <v>8.0640000000000001</v>
      </c>
      <c r="O511" s="178" t="str">
        <f t="shared" si="424"/>
        <v>X</v>
      </c>
      <c r="P511" s="176">
        <f t="shared" si="425"/>
        <v>18.816000000000003</v>
      </c>
      <c r="Q511" s="178" t="s">
        <v>0</v>
      </c>
      <c r="R511" s="176"/>
      <c r="S511" s="178" t="s">
        <v>2578</v>
      </c>
      <c r="T511" s="178" t="str">
        <f t="shared" si="426"/>
        <v>X</v>
      </c>
      <c r="U511" s="176">
        <f t="shared" si="438"/>
        <v>8.0640000000000001</v>
      </c>
      <c r="V511" s="178" t="str">
        <f t="shared" si="427"/>
        <v xml:space="preserve"> </v>
      </c>
      <c r="W511" s="176">
        <f t="shared" si="439"/>
        <v>0</v>
      </c>
      <c r="X511" s="178" t="str">
        <f t="shared" si="428"/>
        <v xml:space="preserve"> </v>
      </c>
      <c r="Y511" s="176">
        <f t="shared" si="440"/>
        <v>0</v>
      </c>
      <c r="Z511" s="178" t="s">
        <v>2581</v>
      </c>
      <c r="AA511" s="178" t="str">
        <f t="shared" si="429"/>
        <v>X</v>
      </c>
      <c r="AB511" s="176">
        <f t="shared" si="430"/>
        <v>5.0199999999999996</v>
      </c>
      <c r="AC511" s="178" t="str">
        <f t="shared" si="431"/>
        <v xml:space="preserve"> </v>
      </c>
      <c r="AD511" s="176">
        <f t="shared" si="432"/>
        <v>0</v>
      </c>
      <c r="AE511" s="178" t="str">
        <f t="shared" si="433"/>
        <v xml:space="preserve"> </v>
      </c>
      <c r="AF511" s="176">
        <f t="shared" si="434"/>
        <v>0</v>
      </c>
      <c r="AG511" s="178" t="str">
        <f t="shared" si="435"/>
        <v/>
      </c>
      <c r="AH511" s="176">
        <f t="shared" si="436"/>
        <v>0</v>
      </c>
    </row>
    <row r="512" spans="2:34" ht="16.5" outlineLevel="1" x14ac:dyDescent="0.25">
      <c r="B512" s="175" t="s">
        <v>2847</v>
      </c>
      <c r="C512" s="176">
        <v>259.33999999999997</v>
      </c>
      <c r="D512" s="176">
        <v>75.81</v>
      </c>
      <c r="E512" s="194">
        <v>3</v>
      </c>
      <c r="F512" s="194">
        <v>0</v>
      </c>
      <c r="G512" s="194">
        <f t="shared" si="437"/>
        <v>3</v>
      </c>
      <c r="H512" s="176"/>
      <c r="I512" s="178" t="str">
        <f t="shared" si="418"/>
        <v>X</v>
      </c>
      <c r="J512" s="176">
        <f t="shared" si="419"/>
        <v>227.43</v>
      </c>
      <c r="K512" s="178" t="str">
        <f t="shared" si="420"/>
        <v xml:space="preserve"> </v>
      </c>
      <c r="L512" s="176">
        <f t="shared" si="421"/>
        <v>0</v>
      </c>
      <c r="M512" s="178" t="str">
        <f t="shared" si="422"/>
        <v>X</v>
      </c>
      <c r="N512" s="177">
        <f t="shared" si="423"/>
        <v>227.43</v>
      </c>
      <c r="O512" s="178" t="str">
        <f t="shared" si="424"/>
        <v xml:space="preserve"> </v>
      </c>
      <c r="P512" s="176">
        <f t="shared" si="425"/>
        <v>0</v>
      </c>
      <c r="Q512" s="178" t="s">
        <v>0</v>
      </c>
      <c r="R512" s="176"/>
      <c r="S512" s="178" t="s">
        <v>2578</v>
      </c>
      <c r="T512" s="178" t="str">
        <f t="shared" si="426"/>
        <v>X</v>
      </c>
      <c r="U512" s="176">
        <f t="shared" si="438"/>
        <v>227.43</v>
      </c>
      <c r="V512" s="178" t="str">
        <f t="shared" si="427"/>
        <v xml:space="preserve"> </v>
      </c>
      <c r="W512" s="176">
        <f t="shared" si="439"/>
        <v>0</v>
      </c>
      <c r="X512" s="178" t="str">
        <f t="shared" si="428"/>
        <v xml:space="preserve"> </v>
      </c>
      <c r="Y512" s="176">
        <f t="shared" si="440"/>
        <v>0</v>
      </c>
      <c r="Z512" s="178" t="s">
        <v>2581</v>
      </c>
      <c r="AA512" s="178" t="str">
        <f t="shared" si="429"/>
        <v>X</v>
      </c>
      <c r="AB512" s="176">
        <f t="shared" si="430"/>
        <v>259.33999999999997</v>
      </c>
      <c r="AC512" s="178" t="str">
        <f t="shared" si="431"/>
        <v xml:space="preserve"> </v>
      </c>
      <c r="AD512" s="176">
        <f t="shared" si="432"/>
        <v>0</v>
      </c>
      <c r="AE512" s="178" t="str">
        <f t="shared" si="433"/>
        <v xml:space="preserve"> </v>
      </c>
      <c r="AF512" s="176">
        <f t="shared" si="434"/>
        <v>0</v>
      </c>
      <c r="AG512" s="178" t="str">
        <f t="shared" si="435"/>
        <v>X</v>
      </c>
      <c r="AH512" s="176">
        <f t="shared" si="436"/>
        <v>75.81</v>
      </c>
    </row>
    <row r="513" spans="2:34" ht="16.5" outlineLevel="1" x14ac:dyDescent="0.25">
      <c r="B513" s="175" t="s">
        <v>2848</v>
      </c>
      <c r="C513" s="176">
        <v>7.35</v>
      </c>
      <c r="D513" s="176">
        <v>12.06</v>
      </c>
      <c r="E513" s="194">
        <v>3</v>
      </c>
      <c r="F513" s="194">
        <v>0</v>
      </c>
      <c r="G513" s="194">
        <f t="shared" si="437"/>
        <v>3</v>
      </c>
      <c r="H513" s="176"/>
      <c r="I513" s="178" t="str">
        <f t="shared" si="418"/>
        <v>X</v>
      </c>
      <c r="J513" s="176">
        <f t="shared" si="419"/>
        <v>36.18</v>
      </c>
      <c r="K513" s="178" t="str">
        <f t="shared" si="420"/>
        <v xml:space="preserve"> </v>
      </c>
      <c r="L513" s="176">
        <f t="shared" si="421"/>
        <v>0</v>
      </c>
      <c r="M513" s="178" t="str">
        <f t="shared" si="422"/>
        <v>X</v>
      </c>
      <c r="N513" s="177">
        <f t="shared" si="423"/>
        <v>36.18</v>
      </c>
      <c r="O513" s="178" t="str">
        <f t="shared" si="424"/>
        <v xml:space="preserve"> </v>
      </c>
      <c r="P513" s="176">
        <f t="shared" si="425"/>
        <v>0</v>
      </c>
      <c r="Q513" s="178" t="s">
        <v>0</v>
      </c>
      <c r="R513" s="176"/>
      <c r="S513" s="178" t="s">
        <v>2578</v>
      </c>
      <c r="T513" s="178" t="str">
        <f t="shared" si="426"/>
        <v>X</v>
      </c>
      <c r="U513" s="176">
        <f t="shared" si="438"/>
        <v>36.18</v>
      </c>
      <c r="V513" s="178" t="str">
        <f t="shared" si="427"/>
        <v xml:space="preserve"> </v>
      </c>
      <c r="W513" s="176">
        <f t="shared" si="439"/>
        <v>0</v>
      </c>
      <c r="X513" s="178" t="str">
        <f t="shared" si="428"/>
        <v xml:space="preserve"> </v>
      </c>
      <c r="Y513" s="176">
        <f t="shared" si="440"/>
        <v>0</v>
      </c>
      <c r="Z513" s="178" t="s">
        <v>2581</v>
      </c>
      <c r="AA513" s="178" t="str">
        <f t="shared" si="429"/>
        <v>X</v>
      </c>
      <c r="AB513" s="176">
        <f t="shared" si="430"/>
        <v>7.35</v>
      </c>
      <c r="AC513" s="178" t="str">
        <f t="shared" si="431"/>
        <v xml:space="preserve"> </v>
      </c>
      <c r="AD513" s="176">
        <f t="shared" si="432"/>
        <v>0</v>
      </c>
      <c r="AE513" s="178" t="str">
        <f t="shared" si="433"/>
        <v xml:space="preserve"> </v>
      </c>
      <c r="AF513" s="176">
        <f t="shared" si="434"/>
        <v>0</v>
      </c>
      <c r="AG513" s="178" t="str">
        <f t="shared" si="435"/>
        <v>X</v>
      </c>
      <c r="AH513" s="176">
        <f t="shared" si="436"/>
        <v>12.06</v>
      </c>
    </row>
    <row r="514" spans="2:34" ht="16.5" outlineLevel="1" x14ac:dyDescent="0.25">
      <c r="B514" s="175" t="s">
        <v>2590</v>
      </c>
      <c r="C514" s="176">
        <v>2.4</v>
      </c>
      <c r="D514" s="176">
        <v>6.4</v>
      </c>
      <c r="E514" s="194">
        <v>3</v>
      </c>
      <c r="F514" s="194">
        <v>2.1</v>
      </c>
      <c r="G514" s="194">
        <f t="shared" si="437"/>
        <v>0.89999999999999991</v>
      </c>
      <c r="H514" s="176"/>
      <c r="I514" s="178" t="str">
        <f t="shared" si="418"/>
        <v>X</v>
      </c>
      <c r="J514" s="176">
        <f t="shared" si="419"/>
        <v>19.200000000000003</v>
      </c>
      <c r="K514" s="178" t="str">
        <f t="shared" si="420"/>
        <v>X</v>
      </c>
      <c r="L514" s="176">
        <f t="shared" si="421"/>
        <v>13.440000000000001</v>
      </c>
      <c r="M514" s="178" t="str">
        <f t="shared" si="422"/>
        <v>X</v>
      </c>
      <c r="N514" s="177">
        <f t="shared" si="423"/>
        <v>5.7600000000000016</v>
      </c>
      <c r="O514" s="178" t="str">
        <f t="shared" si="424"/>
        <v>X</v>
      </c>
      <c r="P514" s="176">
        <f t="shared" si="425"/>
        <v>13.440000000000001</v>
      </c>
      <c r="Q514" s="178" t="s">
        <v>0</v>
      </c>
      <c r="R514" s="176"/>
      <c r="S514" s="178" t="s">
        <v>2578</v>
      </c>
      <c r="T514" s="178" t="str">
        <f t="shared" si="426"/>
        <v>X</v>
      </c>
      <c r="U514" s="176">
        <f t="shared" si="438"/>
        <v>5.7600000000000016</v>
      </c>
      <c r="V514" s="178" t="str">
        <f t="shared" si="427"/>
        <v xml:space="preserve"> </v>
      </c>
      <c r="W514" s="176">
        <f t="shared" si="439"/>
        <v>0</v>
      </c>
      <c r="X514" s="178" t="str">
        <f t="shared" si="428"/>
        <v xml:space="preserve"> </v>
      </c>
      <c r="Y514" s="176">
        <f t="shared" si="440"/>
        <v>0</v>
      </c>
      <c r="Z514" s="178" t="s">
        <v>2581</v>
      </c>
      <c r="AA514" s="178" t="str">
        <f t="shared" si="429"/>
        <v>X</v>
      </c>
      <c r="AB514" s="176">
        <f t="shared" si="430"/>
        <v>2.4</v>
      </c>
      <c r="AC514" s="178" t="str">
        <f t="shared" si="431"/>
        <v xml:space="preserve"> </v>
      </c>
      <c r="AD514" s="176">
        <f t="shared" si="432"/>
        <v>0</v>
      </c>
      <c r="AE514" s="178" t="str">
        <f t="shared" si="433"/>
        <v xml:space="preserve"> </v>
      </c>
      <c r="AF514" s="176">
        <f t="shared" si="434"/>
        <v>0</v>
      </c>
      <c r="AG514" s="178" t="str">
        <f t="shared" si="435"/>
        <v/>
      </c>
      <c r="AH514" s="176">
        <f t="shared" si="436"/>
        <v>0</v>
      </c>
    </row>
    <row r="515" spans="2:34" ht="16.5" outlineLevel="1" x14ac:dyDescent="0.25">
      <c r="B515" s="175" t="s">
        <v>2594</v>
      </c>
      <c r="C515" s="176">
        <v>29.28</v>
      </c>
      <c r="D515" s="176">
        <v>31.44</v>
      </c>
      <c r="E515" s="194">
        <v>3</v>
      </c>
      <c r="F515" s="194">
        <v>0</v>
      </c>
      <c r="G515" s="194">
        <f t="shared" si="437"/>
        <v>3</v>
      </c>
      <c r="H515" s="176"/>
      <c r="I515" s="178" t="str">
        <f t="shared" si="418"/>
        <v>X</v>
      </c>
      <c r="J515" s="176">
        <f t="shared" si="419"/>
        <v>94.320000000000007</v>
      </c>
      <c r="K515" s="178" t="str">
        <f t="shared" si="420"/>
        <v xml:space="preserve"> </v>
      </c>
      <c r="L515" s="176">
        <f t="shared" si="421"/>
        <v>0</v>
      </c>
      <c r="M515" s="178" t="str">
        <f t="shared" si="422"/>
        <v>X</v>
      </c>
      <c r="N515" s="177">
        <f t="shared" si="423"/>
        <v>94.320000000000007</v>
      </c>
      <c r="O515" s="178" t="str">
        <f t="shared" si="424"/>
        <v xml:space="preserve"> </v>
      </c>
      <c r="P515" s="176">
        <f t="shared" si="425"/>
        <v>0</v>
      </c>
      <c r="Q515" s="178" t="s">
        <v>0</v>
      </c>
      <c r="R515" s="176"/>
      <c r="S515" s="178" t="s">
        <v>2578</v>
      </c>
      <c r="T515" s="178" t="str">
        <f t="shared" si="426"/>
        <v>X</v>
      </c>
      <c r="U515" s="176">
        <f t="shared" si="438"/>
        <v>94.320000000000007</v>
      </c>
      <c r="V515" s="178" t="str">
        <f t="shared" si="427"/>
        <v xml:space="preserve"> </v>
      </c>
      <c r="W515" s="176">
        <f t="shared" si="439"/>
        <v>0</v>
      </c>
      <c r="X515" s="178" t="str">
        <f t="shared" si="428"/>
        <v xml:space="preserve"> </v>
      </c>
      <c r="Y515" s="176">
        <f t="shared" si="440"/>
        <v>0</v>
      </c>
      <c r="Z515" s="178" t="s">
        <v>2582</v>
      </c>
      <c r="AA515" s="178" t="str">
        <f t="shared" si="429"/>
        <v xml:space="preserve"> </v>
      </c>
      <c r="AB515" s="176">
        <f t="shared" si="430"/>
        <v>0</v>
      </c>
      <c r="AC515" s="178" t="str">
        <f t="shared" si="431"/>
        <v>X</v>
      </c>
      <c r="AD515" s="176">
        <f t="shared" si="432"/>
        <v>29.28</v>
      </c>
      <c r="AE515" s="178" t="str">
        <f t="shared" si="433"/>
        <v xml:space="preserve"> </v>
      </c>
      <c r="AF515" s="176">
        <f t="shared" si="434"/>
        <v>0</v>
      </c>
      <c r="AG515" s="178" t="str">
        <f t="shared" si="435"/>
        <v>X</v>
      </c>
      <c r="AH515" s="176">
        <f t="shared" si="436"/>
        <v>31.44</v>
      </c>
    </row>
    <row r="516" spans="2:34" ht="16.5" outlineLevel="1" x14ac:dyDescent="0.25">
      <c r="B516" s="175" t="s">
        <v>2849</v>
      </c>
      <c r="C516" s="176">
        <v>58.7</v>
      </c>
      <c r="D516" s="176">
        <v>33.36</v>
      </c>
      <c r="E516" s="194">
        <v>3</v>
      </c>
      <c r="F516" s="194">
        <v>0</v>
      </c>
      <c r="G516" s="194">
        <f t="shared" si="437"/>
        <v>3</v>
      </c>
      <c r="H516" s="176"/>
      <c r="I516" s="178" t="str">
        <f t="shared" si="418"/>
        <v>X</v>
      </c>
      <c r="J516" s="176">
        <f t="shared" si="419"/>
        <v>100.08</v>
      </c>
      <c r="K516" s="178" t="str">
        <f t="shared" si="420"/>
        <v xml:space="preserve"> </v>
      </c>
      <c r="L516" s="176">
        <f t="shared" si="421"/>
        <v>0</v>
      </c>
      <c r="M516" s="178" t="str">
        <f t="shared" si="422"/>
        <v>X</v>
      </c>
      <c r="N516" s="177">
        <f t="shared" si="423"/>
        <v>100.08</v>
      </c>
      <c r="O516" s="178" t="str">
        <f t="shared" si="424"/>
        <v xml:space="preserve"> </v>
      </c>
      <c r="P516" s="176">
        <f t="shared" si="425"/>
        <v>0</v>
      </c>
      <c r="Q516" s="178" t="s">
        <v>0</v>
      </c>
      <c r="R516" s="176"/>
      <c r="S516" s="178" t="s">
        <v>2578</v>
      </c>
      <c r="T516" s="178" t="str">
        <f t="shared" si="426"/>
        <v>X</v>
      </c>
      <c r="U516" s="176">
        <f t="shared" si="438"/>
        <v>100.08</v>
      </c>
      <c r="V516" s="178" t="str">
        <f t="shared" si="427"/>
        <v xml:space="preserve"> </v>
      </c>
      <c r="W516" s="176">
        <f t="shared" si="439"/>
        <v>0</v>
      </c>
      <c r="X516" s="178" t="str">
        <f t="shared" si="428"/>
        <v xml:space="preserve"> </v>
      </c>
      <c r="Y516" s="176">
        <f t="shared" si="440"/>
        <v>0</v>
      </c>
      <c r="Z516" s="178" t="s">
        <v>2581</v>
      </c>
      <c r="AA516" s="178" t="str">
        <f t="shared" si="429"/>
        <v>X</v>
      </c>
      <c r="AB516" s="176">
        <f t="shared" si="430"/>
        <v>58.7</v>
      </c>
      <c r="AC516" s="178" t="str">
        <f t="shared" si="431"/>
        <v xml:space="preserve"> </v>
      </c>
      <c r="AD516" s="176">
        <f t="shared" si="432"/>
        <v>0</v>
      </c>
      <c r="AE516" s="178" t="str">
        <f t="shared" si="433"/>
        <v xml:space="preserve"> </v>
      </c>
      <c r="AF516" s="176">
        <f t="shared" si="434"/>
        <v>0</v>
      </c>
      <c r="AG516" s="178" t="str">
        <f t="shared" si="435"/>
        <v>X</v>
      </c>
      <c r="AH516" s="176">
        <f t="shared" si="436"/>
        <v>33.36</v>
      </c>
    </row>
    <row r="517" spans="2:34" ht="16.5" outlineLevel="1" x14ac:dyDescent="0.25">
      <c r="B517" s="175" t="s">
        <v>2850</v>
      </c>
      <c r="C517" s="176">
        <v>100.73</v>
      </c>
      <c r="D517" s="176">
        <v>40.5</v>
      </c>
      <c r="E517" s="194">
        <v>3</v>
      </c>
      <c r="F517" s="194">
        <v>0</v>
      </c>
      <c r="G517" s="194">
        <f t="shared" si="437"/>
        <v>3</v>
      </c>
      <c r="H517" s="176"/>
      <c r="I517" s="178" t="str">
        <f t="shared" si="418"/>
        <v>X</v>
      </c>
      <c r="J517" s="176">
        <f t="shared" si="419"/>
        <v>121.5</v>
      </c>
      <c r="K517" s="178" t="str">
        <f t="shared" si="420"/>
        <v xml:space="preserve"> </v>
      </c>
      <c r="L517" s="176">
        <f t="shared" si="421"/>
        <v>0</v>
      </c>
      <c r="M517" s="178" t="str">
        <f t="shared" si="422"/>
        <v>X</v>
      </c>
      <c r="N517" s="177">
        <f t="shared" si="423"/>
        <v>121.5</v>
      </c>
      <c r="O517" s="178" t="str">
        <f t="shared" si="424"/>
        <v xml:space="preserve"> </v>
      </c>
      <c r="P517" s="176">
        <f t="shared" si="425"/>
        <v>0</v>
      </c>
      <c r="Q517" s="178" t="s">
        <v>0</v>
      </c>
      <c r="R517" s="176"/>
      <c r="S517" s="178" t="s">
        <v>2578</v>
      </c>
      <c r="T517" s="178" t="str">
        <f t="shared" si="426"/>
        <v>X</v>
      </c>
      <c r="U517" s="176">
        <f t="shared" si="438"/>
        <v>121.5</v>
      </c>
      <c r="V517" s="178" t="str">
        <f t="shared" si="427"/>
        <v xml:space="preserve"> </v>
      </c>
      <c r="W517" s="176">
        <f t="shared" si="439"/>
        <v>0</v>
      </c>
      <c r="X517" s="178" t="str">
        <f t="shared" si="428"/>
        <v xml:space="preserve"> </v>
      </c>
      <c r="Y517" s="176">
        <f t="shared" si="440"/>
        <v>0</v>
      </c>
      <c r="Z517" s="178" t="s">
        <v>2581</v>
      </c>
      <c r="AA517" s="178" t="str">
        <f t="shared" si="429"/>
        <v>X</v>
      </c>
      <c r="AB517" s="176">
        <f t="shared" si="430"/>
        <v>100.73</v>
      </c>
      <c r="AC517" s="178" t="str">
        <f t="shared" si="431"/>
        <v xml:space="preserve"> </v>
      </c>
      <c r="AD517" s="176">
        <f t="shared" si="432"/>
        <v>0</v>
      </c>
      <c r="AE517" s="178" t="str">
        <f t="shared" si="433"/>
        <v xml:space="preserve"> </v>
      </c>
      <c r="AF517" s="176">
        <f t="shared" si="434"/>
        <v>0</v>
      </c>
      <c r="AG517" s="178" t="str">
        <f t="shared" si="435"/>
        <v>X</v>
      </c>
      <c r="AH517" s="176">
        <f t="shared" si="436"/>
        <v>40.5</v>
      </c>
    </row>
    <row r="518" spans="2:34" ht="16.5" outlineLevel="1" x14ac:dyDescent="0.25">
      <c r="B518" s="175" t="s">
        <v>2851</v>
      </c>
      <c r="C518" s="176">
        <v>29.96</v>
      </c>
      <c r="D518" s="176">
        <v>26.64</v>
      </c>
      <c r="E518" s="194">
        <v>3</v>
      </c>
      <c r="F518" s="194">
        <v>0</v>
      </c>
      <c r="G518" s="194">
        <f t="shared" si="437"/>
        <v>3</v>
      </c>
      <c r="H518" s="176"/>
      <c r="I518" s="178" t="str">
        <f t="shared" si="418"/>
        <v>X</v>
      </c>
      <c r="J518" s="176">
        <f t="shared" si="419"/>
        <v>79.92</v>
      </c>
      <c r="K518" s="178" t="str">
        <f t="shared" si="420"/>
        <v xml:space="preserve"> </v>
      </c>
      <c r="L518" s="176">
        <f t="shared" si="421"/>
        <v>0</v>
      </c>
      <c r="M518" s="178" t="str">
        <f t="shared" si="422"/>
        <v>X</v>
      </c>
      <c r="N518" s="177">
        <f t="shared" si="423"/>
        <v>79.92</v>
      </c>
      <c r="O518" s="178" t="str">
        <f t="shared" si="424"/>
        <v xml:space="preserve"> </v>
      </c>
      <c r="P518" s="176">
        <f t="shared" si="425"/>
        <v>0</v>
      </c>
      <c r="Q518" s="178" t="s">
        <v>0</v>
      </c>
      <c r="R518" s="176"/>
      <c r="S518" s="178" t="s">
        <v>2578</v>
      </c>
      <c r="T518" s="178" t="str">
        <f t="shared" si="426"/>
        <v>X</v>
      </c>
      <c r="U518" s="176">
        <f t="shared" si="438"/>
        <v>79.92</v>
      </c>
      <c r="V518" s="178" t="str">
        <f t="shared" si="427"/>
        <v xml:space="preserve"> </v>
      </c>
      <c r="W518" s="176">
        <f t="shared" si="439"/>
        <v>0</v>
      </c>
      <c r="X518" s="178" t="str">
        <f t="shared" si="428"/>
        <v xml:space="preserve"> </v>
      </c>
      <c r="Y518" s="176">
        <f t="shared" si="440"/>
        <v>0</v>
      </c>
      <c r="Z518" s="178" t="s">
        <v>2581</v>
      </c>
      <c r="AA518" s="178" t="str">
        <f t="shared" si="429"/>
        <v>X</v>
      </c>
      <c r="AB518" s="176">
        <f t="shared" si="430"/>
        <v>29.96</v>
      </c>
      <c r="AC518" s="178" t="str">
        <f t="shared" si="431"/>
        <v xml:space="preserve"> </v>
      </c>
      <c r="AD518" s="176">
        <f t="shared" si="432"/>
        <v>0</v>
      </c>
      <c r="AE518" s="178" t="str">
        <f t="shared" si="433"/>
        <v xml:space="preserve"> </v>
      </c>
      <c r="AF518" s="176">
        <f t="shared" si="434"/>
        <v>0</v>
      </c>
      <c r="AG518" s="178" t="str">
        <f t="shared" si="435"/>
        <v>X</v>
      </c>
      <c r="AH518" s="176">
        <f t="shared" si="436"/>
        <v>26.64</v>
      </c>
    </row>
    <row r="519" spans="2:34" ht="16.5" outlineLevel="1" x14ac:dyDescent="0.25">
      <c r="B519" s="175" t="s">
        <v>2852</v>
      </c>
      <c r="C519" s="176">
        <v>6.15</v>
      </c>
      <c r="D519" s="176">
        <v>10.3</v>
      </c>
      <c r="E519" s="194">
        <v>3</v>
      </c>
      <c r="F519" s="194">
        <v>0</v>
      </c>
      <c r="G519" s="194">
        <f t="shared" si="437"/>
        <v>3</v>
      </c>
      <c r="H519" s="176">
        <v>2.2000000000000002</v>
      </c>
      <c r="I519" s="178" t="str">
        <f t="shared" si="418"/>
        <v>X</v>
      </c>
      <c r="J519" s="176">
        <f>IF(I519="X",($D519-H519)*E519,0)</f>
        <v>24.300000000000004</v>
      </c>
      <c r="K519" s="178" t="str">
        <f t="shared" si="420"/>
        <v xml:space="preserve"> </v>
      </c>
      <c r="L519" s="176">
        <f>IF(K519="X",($D519-H519)*F519,0)</f>
        <v>0</v>
      </c>
      <c r="M519" s="178" t="str">
        <f t="shared" si="422"/>
        <v>X</v>
      </c>
      <c r="N519" s="177">
        <f>IF(M519="X",J519-L519,0)</f>
        <v>24.300000000000004</v>
      </c>
      <c r="O519" s="178" t="str">
        <f t="shared" si="424"/>
        <v xml:space="preserve"> </v>
      </c>
      <c r="P519" s="176">
        <f t="shared" si="425"/>
        <v>0</v>
      </c>
      <c r="Q519" s="178" t="s">
        <v>0</v>
      </c>
      <c r="R519" s="176"/>
      <c r="S519" s="178" t="s">
        <v>2578</v>
      </c>
      <c r="T519" s="178" t="str">
        <f t="shared" si="426"/>
        <v>X</v>
      </c>
      <c r="U519" s="176">
        <f t="shared" si="438"/>
        <v>24.300000000000004</v>
      </c>
      <c r="V519" s="178" t="str">
        <f t="shared" si="427"/>
        <v xml:space="preserve"> </v>
      </c>
      <c r="W519" s="176">
        <f t="shared" si="439"/>
        <v>0</v>
      </c>
      <c r="X519" s="178" t="str">
        <f t="shared" si="428"/>
        <v xml:space="preserve"> </v>
      </c>
      <c r="Y519" s="176">
        <f t="shared" si="440"/>
        <v>0</v>
      </c>
      <c r="Z519" s="178" t="s">
        <v>2581</v>
      </c>
      <c r="AA519" s="178" t="str">
        <f t="shared" si="429"/>
        <v>X</v>
      </c>
      <c r="AB519" s="176">
        <f t="shared" si="430"/>
        <v>6.15</v>
      </c>
      <c r="AC519" s="178" t="str">
        <f t="shared" si="431"/>
        <v xml:space="preserve"> </v>
      </c>
      <c r="AD519" s="176">
        <f t="shared" si="432"/>
        <v>0</v>
      </c>
      <c r="AE519" s="178" t="str">
        <f t="shared" si="433"/>
        <v xml:space="preserve"> </v>
      </c>
      <c r="AF519" s="176">
        <f t="shared" si="434"/>
        <v>0</v>
      </c>
      <c r="AG519" s="178" t="str">
        <f t="shared" si="435"/>
        <v>X</v>
      </c>
      <c r="AH519" s="176">
        <f t="shared" si="436"/>
        <v>8.1000000000000014</v>
      </c>
    </row>
    <row r="520" spans="2:34" ht="16.5" outlineLevel="1" x14ac:dyDescent="0.25">
      <c r="B520" s="175" t="s">
        <v>2853</v>
      </c>
      <c r="C520" s="176">
        <v>47.87</v>
      </c>
      <c r="D520" s="176">
        <v>38.090000000000003</v>
      </c>
      <c r="E520" s="194">
        <v>3</v>
      </c>
      <c r="F520" s="194">
        <v>0</v>
      </c>
      <c r="G520" s="194">
        <f t="shared" si="437"/>
        <v>3</v>
      </c>
      <c r="H520" s="176">
        <f>2.07+2.2+2.6</f>
        <v>6.8699999999999992</v>
      </c>
      <c r="I520" s="178" t="str">
        <f t="shared" si="418"/>
        <v>X</v>
      </c>
      <c r="J520" s="176">
        <f>IF(I520="X",($D520-H520)*E520,0)</f>
        <v>93.660000000000025</v>
      </c>
      <c r="K520" s="178" t="str">
        <f t="shared" si="420"/>
        <v xml:space="preserve"> </v>
      </c>
      <c r="L520" s="176">
        <f>IF(K520="X",($D520-H520)*F520,0)</f>
        <v>0</v>
      </c>
      <c r="M520" s="178" t="str">
        <f t="shared" si="422"/>
        <v>X</v>
      </c>
      <c r="N520" s="177">
        <f>IF(M520="X",J520-L520,0)</f>
        <v>93.660000000000025</v>
      </c>
      <c r="O520" s="178" t="str">
        <f t="shared" si="424"/>
        <v xml:space="preserve"> </v>
      </c>
      <c r="P520" s="176">
        <f t="shared" si="425"/>
        <v>0</v>
      </c>
      <c r="Q520" s="178" t="s">
        <v>0</v>
      </c>
      <c r="R520" s="176"/>
      <c r="S520" s="178" t="s">
        <v>2578</v>
      </c>
      <c r="T520" s="178" t="str">
        <f t="shared" si="426"/>
        <v>X</v>
      </c>
      <c r="U520" s="176">
        <f t="shared" si="438"/>
        <v>93.660000000000025</v>
      </c>
      <c r="V520" s="178" t="str">
        <f t="shared" si="427"/>
        <v xml:space="preserve"> </v>
      </c>
      <c r="W520" s="176">
        <f t="shared" si="439"/>
        <v>0</v>
      </c>
      <c r="X520" s="178" t="str">
        <f t="shared" si="428"/>
        <v xml:space="preserve"> </v>
      </c>
      <c r="Y520" s="176">
        <f t="shared" si="440"/>
        <v>0</v>
      </c>
      <c r="Z520" s="178" t="s">
        <v>2581</v>
      </c>
      <c r="AA520" s="178" t="str">
        <f t="shared" si="429"/>
        <v>X</v>
      </c>
      <c r="AB520" s="176">
        <f t="shared" si="430"/>
        <v>47.87</v>
      </c>
      <c r="AC520" s="178" t="str">
        <f t="shared" si="431"/>
        <v xml:space="preserve"> </v>
      </c>
      <c r="AD520" s="176">
        <f t="shared" si="432"/>
        <v>0</v>
      </c>
      <c r="AE520" s="178" t="str">
        <f t="shared" si="433"/>
        <v xml:space="preserve"> </v>
      </c>
      <c r="AF520" s="176">
        <f t="shared" si="434"/>
        <v>0</v>
      </c>
      <c r="AG520" s="178" t="str">
        <f t="shared" si="435"/>
        <v>X</v>
      </c>
      <c r="AH520" s="176">
        <f t="shared" si="436"/>
        <v>31.220000000000006</v>
      </c>
    </row>
    <row r="521" spans="2:34" ht="16.5" outlineLevel="1" x14ac:dyDescent="0.25">
      <c r="B521" s="175" t="s">
        <v>2854</v>
      </c>
      <c r="C521" s="176">
        <v>12.73</v>
      </c>
      <c r="D521" s="176">
        <v>15.71</v>
      </c>
      <c r="E521" s="194">
        <v>3</v>
      </c>
      <c r="F521" s="194">
        <v>0</v>
      </c>
      <c r="G521" s="194">
        <f t="shared" si="437"/>
        <v>3</v>
      </c>
      <c r="H521" s="176">
        <v>2.0699999999999998</v>
      </c>
      <c r="I521" s="178" t="str">
        <f t="shared" si="418"/>
        <v>X</v>
      </c>
      <c r="J521" s="176">
        <f>IF(I521="X",($D521-H521)*E521,0)</f>
        <v>40.92</v>
      </c>
      <c r="K521" s="178" t="str">
        <f t="shared" si="420"/>
        <v xml:space="preserve"> </v>
      </c>
      <c r="L521" s="176">
        <f>IF(K521="X",($D521-H521)*F521,0)</f>
        <v>0</v>
      </c>
      <c r="M521" s="178" t="str">
        <f t="shared" si="422"/>
        <v>X</v>
      </c>
      <c r="N521" s="177">
        <f>IF(M521="X",J521-L521,0)</f>
        <v>40.92</v>
      </c>
      <c r="O521" s="178" t="str">
        <f t="shared" si="424"/>
        <v xml:space="preserve"> </v>
      </c>
      <c r="P521" s="176">
        <f t="shared" si="425"/>
        <v>0</v>
      </c>
      <c r="Q521" s="178" t="s">
        <v>0</v>
      </c>
      <c r="R521" s="176"/>
      <c r="S521" s="178" t="s">
        <v>2578</v>
      </c>
      <c r="T521" s="178" t="str">
        <f t="shared" si="426"/>
        <v>X</v>
      </c>
      <c r="U521" s="176">
        <f t="shared" si="438"/>
        <v>40.92</v>
      </c>
      <c r="V521" s="178" t="str">
        <f t="shared" si="427"/>
        <v xml:space="preserve"> </v>
      </c>
      <c r="W521" s="176">
        <f t="shared" si="439"/>
        <v>0</v>
      </c>
      <c r="X521" s="178" t="str">
        <f t="shared" si="428"/>
        <v xml:space="preserve"> </v>
      </c>
      <c r="Y521" s="176">
        <f t="shared" si="440"/>
        <v>0</v>
      </c>
      <c r="Z521" s="178" t="s">
        <v>2581</v>
      </c>
      <c r="AA521" s="178" t="str">
        <f t="shared" si="429"/>
        <v>X</v>
      </c>
      <c r="AB521" s="176">
        <f t="shared" si="430"/>
        <v>12.73</v>
      </c>
      <c r="AC521" s="178" t="str">
        <f t="shared" si="431"/>
        <v xml:space="preserve"> </v>
      </c>
      <c r="AD521" s="176">
        <f t="shared" si="432"/>
        <v>0</v>
      </c>
      <c r="AE521" s="178" t="str">
        <f t="shared" si="433"/>
        <v xml:space="preserve"> </v>
      </c>
      <c r="AF521" s="176">
        <f t="shared" si="434"/>
        <v>0</v>
      </c>
      <c r="AG521" s="178" t="str">
        <f t="shared" si="435"/>
        <v>X</v>
      </c>
      <c r="AH521" s="176">
        <f t="shared" si="436"/>
        <v>13.64</v>
      </c>
    </row>
    <row r="522" spans="2:34" ht="16.5" outlineLevel="1" x14ac:dyDescent="0.25">
      <c r="B522" s="175" t="s">
        <v>2670</v>
      </c>
      <c r="C522" s="176">
        <v>15.1</v>
      </c>
      <c r="D522" s="176">
        <v>17.75</v>
      </c>
      <c r="E522" s="194">
        <v>3</v>
      </c>
      <c r="F522" s="194">
        <v>0</v>
      </c>
      <c r="G522" s="194">
        <f t="shared" si="437"/>
        <v>3</v>
      </c>
      <c r="H522" s="176"/>
      <c r="I522" s="178" t="str">
        <f t="shared" si="418"/>
        <v>X</v>
      </c>
      <c r="J522" s="176">
        <f>IF(I522="X",($D522-H522)*E522,0)</f>
        <v>53.25</v>
      </c>
      <c r="K522" s="178" t="str">
        <f t="shared" si="420"/>
        <v xml:space="preserve"> </v>
      </c>
      <c r="L522" s="176">
        <f>IF(K522="X",($D522-H522)*F522,0)</f>
        <v>0</v>
      </c>
      <c r="M522" s="178" t="str">
        <f t="shared" si="422"/>
        <v>X</v>
      </c>
      <c r="N522" s="177">
        <f>IF(M522="X",J522-L522,0)</f>
        <v>53.25</v>
      </c>
      <c r="O522" s="178" t="str">
        <f t="shared" si="424"/>
        <v xml:space="preserve"> </v>
      </c>
      <c r="P522" s="176">
        <f t="shared" si="425"/>
        <v>0</v>
      </c>
      <c r="Q522" s="178" t="s">
        <v>0</v>
      </c>
      <c r="R522" s="176"/>
      <c r="S522" s="178" t="s">
        <v>2580</v>
      </c>
      <c r="T522" s="178" t="str">
        <f t="shared" si="426"/>
        <v xml:space="preserve"> </v>
      </c>
      <c r="U522" s="176">
        <f t="shared" si="438"/>
        <v>0</v>
      </c>
      <c r="V522" s="178" t="str">
        <f t="shared" si="427"/>
        <v xml:space="preserve"> </v>
      </c>
      <c r="W522" s="176">
        <f t="shared" si="439"/>
        <v>0</v>
      </c>
      <c r="X522" s="178" t="str">
        <f t="shared" si="428"/>
        <v>X</v>
      </c>
      <c r="Y522" s="176">
        <f t="shared" si="440"/>
        <v>53.25</v>
      </c>
      <c r="Z522" s="178" t="s">
        <v>2583</v>
      </c>
      <c r="AA522" s="178" t="str">
        <f t="shared" si="429"/>
        <v xml:space="preserve"> </v>
      </c>
      <c r="AB522" s="176">
        <f t="shared" si="430"/>
        <v>0</v>
      </c>
      <c r="AC522" s="178" t="str">
        <f t="shared" si="431"/>
        <v xml:space="preserve"> </v>
      </c>
      <c r="AD522" s="176">
        <f t="shared" si="432"/>
        <v>0</v>
      </c>
      <c r="AE522" s="178" t="str">
        <f t="shared" si="433"/>
        <v>X</v>
      </c>
      <c r="AF522" s="176">
        <f t="shared" si="434"/>
        <v>15.1</v>
      </c>
      <c r="AG522" s="178" t="str">
        <f t="shared" si="435"/>
        <v>X</v>
      </c>
      <c r="AH522" s="176">
        <f t="shared" si="436"/>
        <v>17.75</v>
      </c>
    </row>
    <row r="523" spans="2:34" ht="16.5" outlineLevel="1" x14ac:dyDescent="0.25">
      <c r="B523" s="175" t="s">
        <v>2718</v>
      </c>
      <c r="C523" s="176"/>
      <c r="D523" s="176"/>
      <c r="E523" s="194">
        <v>3</v>
      </c>
      <c r="F523" s="194">
        <v>0</v>
      </c>
      <c r="G523" s="194">
        <f t="shared" si="437"/>
        <v>3</v>
      </c>
      <c r="H523" s="176"/>
      <c r="I523" s="178"/>
      <c r="J523" s="176"/>
      <c r="K523" s="178"/>
      <c r="L523" s="176"/>
      <c r="M523" s="178"/>
      <c r="N523" s="177"/>
      <c r="O523" s="178"/>
      <c r="P523" s="176"/>
      <c r="Q523" s="178"/>
      <c r="R523" s="176"/>
      <c r="S523" s="178" t="s">
        <v>2578</v>
      </c>
      <c r="T523" s="178" t="str">
        <f t="shared" si="426"/>
        <v>X</v>
      </c>
      <c r="U523" s="176">
        <f t="shared" si="438"/>
        <v>0</v>
      </c>
      <c r="V523" s="178" t="str">
        <f t="shared" si="427"/>
        <v xml:space="preserve"> </v>
      </c>
      <c r="W523" s="176">
        <f t="shared" si="439"/>
        <v>0</v>
      </c>
      <c r="X523" s="178" t="str">
        <f t="shared" si="428"/>
        <v xml:space="preserve"> </v>
      </c>
      <c r="Y523" s="176">
        <f t="shared" si="440"/>
        <v>0</v>
      </c>
      <c r="Z523" s="178" t="s">
        <v>2581</v>
      </c>
      <c r="AA523" s="178" t="str">
        <f t="shared" si="429"/>
        <v>X</v>
      </c>
      <c r="AB523" s="176">
        <f t="shared" si="430"/>
        <v>0</v>
      </c>
      <c r="AC523" s="178" t="str">
        <f t="shared" si="431"/>
        <v xml:space="preserve"> </v>
      </c>
      <c r="AD523" s="176">
        <f t="shared" si="432"/>
        <v>0</v>
      </c>
      <c r="AE523" s="178" t="str">
        <f t="shared" si="433"/>
        <v xml:space="preserve"> </v>
      </c>
      <c r="AF523" s="176">
        <f t="shared" si="434"/>
        <v>0</v>
      </c>
      <c r="AG523" s="178" t="str">
        <f t="shared" si="435"/>
        <v>X</v>
      </c>
      <c r="AH523" s="176">
        <f t="shared" si="436"/>
        <v>0</v>
      </c>
    </row>
    <row r="524" spans="2:34" ht="16.5" x14ac:dyDescent="0.25">
      <c r="B524" s="182"/>
      <c r="C524" s="185"/>
      <c r="D524" s="185"/>
      <c r="E524" s="185"/>
      <c r="F524" s="185"/>
      <c r="G524" s="185"/>
      <c r="H524" s="185"/>
      <c r="I524" s="184"/>
      <c r="J524" s="185"/>
      <c r="K524" s="184"/>
      <c r="L524" s="185"/>
      <c r="M524" s="184"/>
      <c r="N524" s="185"/>
      <c r="O524" s="201"/>
      <c r="P524" s="185"/>
      <c r="Q524" s="184"/>
      <c r="R524" s="189"/>
      <c r="S524" s="185"/>
      <c r="T524" s="184"/>
      <c r="U524" s="185"/>
      <c r="V524" s="184"/>
      <c r="W524" s="185"/>
      <c r="X524" s="184"/>
      <c r="Y524" s="189"/>
      <c r="Z524" s="185"/>
      <c r="AA524" s="184"/>
      <c r="AB524" s="185"/>
      <c r="AC524" s="184"/>
      <c r="AD524" s="185"/>
      <c r="AE524" s="184"/>
      <c r="AF524" s="189"/>
      <c r="AG524" s="184"/>
      <c r="AH524" s="189"/>
    </row>
    <row r="525" spans="2:34" ht="16.5" x14ac:dyDescent="0.25">
      <c r="B525" s="195" t="s">
        <v>2855</v>
      </c>
      <c r="C525" s="196"/>
      <c r="D525" s="196"/>
      <c r="E525" s="196"/>
      <c r="F525" s="196"/>
      <c r="G525" s="196"/>
      <c r="H525" s="196"/>
      <c r="I525" s="196"/>
      <c r="J525" s="196"/>
      <c r="K525" s="196"/>
      <c r="L525" s="196"/>
      <c r="M525" s="196"/>
      <c r="N525" s="196"/>
      <c r="O525" s="196"/>
      <c r="P525" s="196"/>
      <c r="Q525" s="196"/>
      <c r="R525" s="197"/>
      <c r="S525" s="196"/>
      <c r="T525" s="196"/>
      <c r="U525" s="196"/>
      <c r="V525" s="196"/>
      <c r="W525" s="196"/>
      <c r="X525" s="196"/>
      <c r="Y525" s="197"/>
      <c r="Z525" s="196"/>
      <c r="AA525" s="196"/>
      <c r="AB525" s="196"/>
      <c r="AC525" s="196"/>
      <c r="AD525" s="196"/>
      <c r="AE525" s="196"/>
      <c r="AF525" s="197"/>
      <c r="AG525" s="196"/>
      <c r="AH525" s="197"/>
    </row>
    <row r="526" spans="2:34" ht="16.5" x14ac:dyDescent="0.25">
      <c r="B526" s="929" t="s">
        <v>2821</v>
      </c>
      <c r="C526" s="930"/>
      <c r="D526" s="930"/>
      <c r="E526" s="930"/>
      <c r="F526" s="930"/>
      <c r="G526" s="930"/>
      <c r="H526" s="931"/>
      <c r="I526" s="190" t="s">
        <v>2586</v>
      </c>
      <c r="J526" s="191">
        <f>SUBTOTAL(9,J527:J552)</f>
        <v>1349.13</v>
      </c>
      <c r="K526" s="192" t="s">
        <v>2586</v>
      </c>
      <c r="L526" s="191">
        <f>SUBTOTAL(9,L527:L552)</f>
        <v>251.49599999999998</v>
      </c>
      <c r="M526" s="190" t="s">
        <v>2586</v>
      </c>
      <c r="N526" s="200">
        <f>SUBTOTAL(9,N527:N552)</f>
        <v>1097.634</v>
      </c>
      <c r="O526" s="190" t="s">
        <v>2586</v>
      </c>
      <c r="P526" s="191">
        <f>SUBTOTAL(9,P527:P552)</f>
        <v>260.49599999999998</v>
      </c>
      <c r="Q526" s="190" t="s">
        <v>2586</v>
      </c>
      <c r="R526" s="191">
        <f>SUBTOTAL(9,R527:R552)</f>
        <v>0</v>
      </c>
      <c r="S526" s="191"/>
      <c r="T526" s="190" t="s">
        <v>2586</v>
      </c>
      <c r="U526" s="200">
        <f>SUBTOTAL(9,U527:U552)</f>
        <v>1097.634</v>
      </c>
      <c r="V526" s="190" t="s">
        <v>2586</v>
      </c>
      <c r="W526" s="191">
        <f>SUBTOTAL(9,W527:W552)</f>
        <v>0</v>
      </c>
      <c r="X526" s="190" t="s">
        <v>2586</v>
      </c>
      <c r="Y526" s="191">
        <f>SUBTOTAL(9,Y527:Y552)</f>
        <v>0</v>
      </c>
      <c r="Z526" s="191"/>
      <c r="AA526" s="190" t="s">
        <v>2586</v>
      </c>
      <c r="AB526" s="200">
        <f>SUBTOTAL(9,AB527:AB552)</f>
        <v>303.64</v>
      </c>
      <c r="AC526" s="190" t="s">
        <v>2586</v>
      </c>
      <c r="AD526" s="191">
        <f>SUBTOTAL(9,AD527:AD552)</f>
        <v>120.08</v>
      </c>
      <c r="AE526" s="190" t="s">
        <v>2586</v>
      </c>
      <c r="AF526" s="191">
        <f>SUBTOTAL(9,AF527:AF552)</f>
        <v>0</v>
      </c>
      <c r="AG526" s="190" t="s">
        <v>2586</v>
      </c>
      <c r="AH526" s="191">
        <f>SUBTOTAL(9,AH527:AH552)</f>
        <v>329.95</v>
      </c>
    </row>
    <row r="527" spans="2:34" ht="16.5" outlineLevel="1" x14ac:dyDescent="0.25">
      <c r="B527" s="175" t="s">
        <v>2642</v>
      </c>
      <c r="C527" s="176">
        <v>27.69</v>
      </c>
      <c r="D527" s="176">
        <v>21.92</v>
      </c>
      <c r="E527" s="194">
        <v>3</v>
      </c>
      <c r="F527" s="194">
        <v>0</v>
      </c>
      <c r="G527" s="194">
        <f t="shared" ref="G527:G552" si="441">E527-F527</f>
        <v>3</v>
      </c>
      <c r="H527" s="176"/>
      <c r="I527" s="178" t="str">
        <f t="shared" ref="I527:I552" si="442">IF($E527&gt;0,"X"," ")</f>
        <v>X</v>
      </c>
      <c r="J527" s="176">
        <f t="shared" ref="J527:J552" si="443">IF(I527="X",($D527-H527)*E527,0)</f>
        <v>65.760000000000005</v>
      </c>
      <c r="K527" s="178" t="str">
        <f t="shared" ref="K527:K552" si="444">IF($F527&gt;0,"X"," ")</f>
        <v xml:space="preserve"> </v>
      </c>
      <c r="L527" s="176">
        <f t="shared" ref="L527:L552" si="445">IF(K527="X",($D527-H527)*F527,0)</f>
        <v>0</v>
      </c>
      <c r="M527" s="178" t="str">
        <f t="shared" ref="M527:M552" si="446">IF($E527&gt;0,"X"," ")</f>
        <v>X</v>
      </c>
      <c r="N527" s="177">
        <f t="shared" ref="N527:N552" si="447">IF(M527="X",J527-L527,0)</f>
        <v>65.760000000000005</v>
      </c>
      <c r="O527" s="178" t="str">
        <f t="shared" ref="O527:O552" si="448">IF($F527&gt;0,"X"," ")</f>
        <v xml:space="preserve"> </v>
      </c>
      <c r="P527" s="176">
        <v>1</v>
      </c>
      <c r="Q527" s="178" t="s">
        <v>0</v>
      </c>
      <c r="R527" s="176"/>
      <c r="S527" s="178" t="s">
        <v>2578</v>
      </c>
      <c r="T527" s="178" t="str">
        <f t="shared" ref="T527:T552" si="449">IF($S527="ACRÍLICA","X"," ")</f>
        <v>X</v>
      </c>
      <c r="U527" s="176">
        <f>IF(T527="X",$N527,0)</f>
        <v>65.760000000000005</v>
      </c>
      <c r="V527" s="178" t="str">
        <f t="shared" ref="V527:V552" si="450">IF($S527="EPÓXI","X"," ")</f>
        <v xml:space="preserve"> </v>
      </c>
      <c r="W527" s="176">
        <f>IF(V527="X",$N527,0)</f>
        <v>0</v>
      </c>
      <c r="X527" s="178" t="str">
        <f t="shared" ref="X527:X552" si="451">IF($S527="TEXTURA","X"," ")</f>
        <v xml:space="preserve"> </v>
      </c>
      <c r="Y527" s="176">
        <f>IF(X527="X",$N527,0)</f>
        <v>0</v>
      </c>
      <c r="Z527" s="178" t="s">
        <v>2581</v>
      </c>
      <c r="AA527" s="178" t="str">
        <f t="shared" ref="AA527:AA552" si="452">IF($Z527="ACARTONADO","X"," ")</f>
        <v>X</v>
      </c>
      <c r="AB527" s="176">
        <f t="shared" ref="AB527:AB552" si="453">IF(AA527="X",$C527,0)</f>
        <v>27.69</v>
      </c>
      <c r="AC527" s="178" t="str">
        <f t="shared" ref="AC527:AC552" si="454">IF($Z527="MINERAL","X"," ")</f>
        <v xml:space="preserve"> </v>
      </c>
      <c r="AD527" s="176">
        <f t="shared" ref="AD527:AD552" si="455">IF(AC527="X",$C527,0)</f>
        <v>0</v>
      </c>
      <c r="AE527" s="178" t="str">
        <f t="shared" ref="AE527:AE552" si="456">IF($Z527="LAJE","X"," ")</f>
        <v xml:space="preserve"> </v>
      </c>
      <c r="AF527" s="176">
        <f t="shared" ref="AF527:AF552" si="457">IF(AE527="X",$C527,0)</f>
        <v>0</v>
      </c>
      <c r="AG527" s="178" t="str">
        <f t="shared" ref="AG527:AG552" si="458">IF(K527="X","","X")</f>
        <v>X</v>
      </c>
      <c r="AH527" s="176">
        <f t="shared" ref="AH527:AH552" si="459">IF(AG527="X",$D527-H527,0)</f>
        <v>21.92</v>
      </c>
    </row>
    <row r="528" spans="2:34" ht="16.5" outlineLevel="1" x14ac:dyDescent="0.25">
      <c r="B528" s="175" t="s">
        <v>2643</v>
      </c>
      <c r="C528" s="176">
        <v>5.18</v>
      </c>
      <c r="D528" s="176">
        <v>9.99</v>
      </c>
      <c r="E528" s="194">
        <v>3</v>
      </c>
      <c r="F528" s="194">
        <v>2.1</v>
      </c>
      <c r="G528" s="194">
        <f t="shared" si="441"/>
        <v>0.89999999999999991</v>
      </c>
      <c r="H528" s="176"/>
      <c r="I528" s="178" t="str">
        <f t="shared" si="442"/>
        <v>X</v>
      </c>
      <c r="J528" s="176">
        <f t="shared" si="443"/>
        <v>29.97</v>
      </c>
      <c r="K528" s="178" t="str">
        <f t="shared" si="444"/>
        <v>X</v>
      </c>
      <c r="L528" s="176">
        <f t="shared" si="445"/>
        <v>20.979000000000003</v>
      </c>
      <c r="M528" s="178" t="str">
        <f t="shared" si="446"/>
        <v>X</v>
      </c>
      <c r="N528" s="177">
        <f t="shared" si="447"/>
        <v>8.9909999999999961</v>
      </c>
      <c r="O528" s="178" t="str">
        <f t="shared" si="448"/>
        <v>X</v>
      </c>
      <c r="P528" s="176">
        <f>IF(L528&gt;0,L528,0)</f>
        <v>20.979000000000003</v>
      </c>
      <c r="Q528" s="178" t="s">
        <v>0</v>
      </c>
      <c r="R528" s="176"/>
      <c r="S528" s="178" t="s">
        <v>2578</v>
      </c>
      <c r="T528" s="178" t="str">
        <f t="shared" si="449"/>
        <v>X</v>
      </c>
      <c r="U528" s="176">
        <f t="shared" ref="U528:U552" si="460">IF(T528="X",$N528,0)</f>
        <v>8.9909999999999961</v>
      </c>
      <c r="V528" s="178" t="str">
        <f t="shared" si="450"/>
        <v xml:space="preserve"> </v>
      </c>
      <c r="W528" s="176">
        <f t="shared" ref="W528:W552" si="461">IF(V528="X",$N528,0)</f>
        <v>0</v>
      </c>
      <c r="X528" s="178" t="str">
        <f t="shared" si="451"/>
        <v xml:space="preserve"> </v>
      </c>
      <c r="Y528" s="176">
        <f t="shared" ref="Y528:Y552" si="462">IF(X528="X",$N528,0)</f>
        <v>0</v>
      </c>
      <c r="Z528" s="178" t="s">
        <v>2581</v>
      </c>
      <c r="AA528" s="178" t="str">
        <f t="shared" si="452"/>
        <v>X</v>
      </c>
      <c r="AB528" s="176">
        <f t="shared" si="453"/>
        <v>5.18</v>
      </c>
      <c r="AC528" s="178" t="str">
        <f t="shared" si="454"/>
        <v xml:space="preserve"> </v>
      </c>
      <c r="AD528" s="176">
        <f t="shared" si="455"/>
        <v>0</v>
      </c>
      <c r="AE528" s="178" t="str">
        <f t="shared" si="456"/>
        <v xml:space="preserve"> </v>
      </c>
      <c r="AF528" s="176">
        <f t="shared" si="457"/>
        <v>0</v>
      </c>
      <c r="AG528" s="178" t="str">
        <f t="shared" si="458"/>
        <v/>
      </c>
      <c r="AH528" s="176">
        <f t="shared" si="459"/>
        <v>0</v>
      </c>
    </row>
    <row r="529" spans="2:34" ht="16.5" outlineLevel="1" x14ac:dyDescent="0.25">
      <c r="B529" s="175" t="s">
        <v>2644</v>
      </c>
      <c r="C529" s="176">
        <v>27.26</v>
      </c>
      <c r="D529" s="176">
        <v>21.74</v>
      </c>
      <c r="E529" s="194">
        <v>3</v>
      </c>
      <c r="F529" s="194">
        <v>0</v>
      </c>
      <c r="G529" s="194">
        <f t="shared" si="441"/>
        <v>3</v>
      </c>
      <c r="H529" s="176"/>
      <c r="I529" s="178" t="str">
        <f t="shared" si="442"/>
        <v>X</v>
      </c>
      <c r="J529" s="176">
        <f t="shared" si="443"/>
        <v>65.22</v>
      </c>
      <c r="K529" s="178" t="str">
        <f t="shared" si="444"/>
        <v xml:space="preserve"> </v>
      </c>
      <c r="L529" s="176">
        <f t="shared" si="445"/>
        <v>0</v>
      </c>
      <c r="M529" s="178" t="str">
        <f t="shared" si="446"/>
        <v>X</v>
      </c>
      <c r="N529" s="177">
        <f t="shared" si="447"/>
        <v>65.22</v>
      </c>
      <c r="O529" s="178" t="str">
        <f t="shared" si="448"/>
        <v xml:space="preserve"> </v>
      </c>
      <c r="P529" s="176">
        <v>1</v>
      </c>
      <c r="Q529" s="178" t="s">
        <v>0</v>
      </c>
      <c r="R529" s="176"/>
      <c r="S529" s="178" t="s">
        <v>2578</v>
      </c>
      <c r="T529" s="178" t="str">
        <f t="shared" si="449"/>
        <v>X</v>
      </c>
      <c r="U529" s="176">
        <f t="shared" si="460"/>
        <v>65.22</v>
      </c>
      <c r="V529" s="178" t="str">
        <f t="shared" si="450"/>
        <v xml:space="preserve"> </v>
      </c>
      <c r="W529" s="176">
        <f t="shared" si="461"/>
        <v>0</v>
      </c>
      <c r="X529" s="178" t="str">
        <f t="shared" si="451"/>
        <v xml:space="preserve"> </v>
      </c>
      <c r="Y529" s="176">
        <f t="shared" si="462"/>
        <v>0</v>
      </c>
      <c r="Z529" s="178" t="s">
        <v>2581</v>
      </c>
      <c r="AA529" s="178" t="str">
        <f t="shared" si="452"/>
        <v>X</v>
      </c>
      <c r="AB529" s="176">
        <f t="shared" si="453"/>
        <v>27.26</v>
      </c>
      <c r="AC529" s="178" t="str">
        <f t="shared" si="454"/>
        <v xml:space="preserve"> </v>
      </c>
      <c r="AD529" s="176">
        <f t="shared" si="455"/>
        <v>0</v>
      </c>
      <c r="AE529" s="178" t="str">
        <f t="shared" si="456"/>
        <v xml:space="preserve"> </v>
      </c>
      <c r="AF529" s="176">
        <f t="shared" si="457"/>
        <v>0</v>
      </c>
      <c r="AG529" s="178" t="str">
        <f t="shared" si="458"/>
        <v>X</v>
      </c>
      <c r="AH529" s="176">
        <f t="shared" si="459"/>
        <v>21.74</v>
      </c>
    </row>
    <row r="530" spans="2:34" ht="16.5" outlineLevel="1" x14ac:dyDescent="0.25">
      <c r="B530" s="175" t="s">
        <v>2645</v>
      </c>
      <c r="C530" s="176">
        <v>5.18</v>
      </c>
      <c r="D530" s="176">
        <v>9.99</v>
      </c>
      <c r="E530" s="194">
        <v>3</v>
      </c>
      <c r="F530" s="194">
        <v>2.1</v>
      </c>
      <c r="G530" s="194">
        <f t="shared" si="441"/>
        <v>0.89999999999999991</v>
      </c>
      <c r="H530" s="176"/>
      <c r="I530" s="178" t="str">
        <f t="shared" si="442"/>
        <v>X</v>
      </c>
      <c r="J530" s="176">
        <f t="shared" si="443"/>
        <v>29.97</v>
      </c>
      <c r="K530" s="178" t="str">
        <f t="shared" si="444"/>
        <v>X</v>
      </c>
      <c r="L530" s="176">
        <f t="shared" si="445"/>
        <v>20.979000000000003</v>
      </c>
      <c r="M530" s="178" t="str">
        <f t="shared" si="446"/>
        <v>X</v>
      </c>
      <c r="N530" s="177">
        <f t="shared" si="447"/>
        <v>8.9909999999999961</v>
      </c>
      <c r="O530" s="178" t="str">
        <f t="shared" si="448"/>
        <v>X</v>
      </c>
      <c r="P530" s="176">
        <f>IF(L530&gt;0,L530,0)</f>
        <v>20.979000000000003</v>
      </c>
      <c r="Q530" s="178" t="s">
        <v>0</v>
      </c>
      <c r="R530" s="176"/>
      <c r="S530" s="178" t="s">
        <v>2578</v>
      </c>
      <c r="T530" s="178" t="str">
        <f t="shared" si="449"/>
        <v>X</v>
      </c>
      <c r="U530" s="176">
        <f t="shared" si="460"/>
        <v>8.9909999999999961</v>
      </c>
      <c r="V530" s="178" t="str">
        <f t="shared" si="450"/>
        <v xml:space="preserve"> </v>
      </c>
      <c r="W530" s="176">
        <f t="shared" si="461"/>
        <v>0</v>
      </c>
      <c r="X530" s="178" t="str">
        <f t="shared" si="451"/>
        <v xml:space="preserve"> </v>
      </c>
      <c r="Y530" s="176">
        <f t="shared" si="462"/>
        <v>0</v>
      </c>
      <c r="Z530" s="178" t="s">
        <v>2581</v>
      </c>
      <c r="AA530" s="178" t="str">
        <f t="shared" si="452"/>
        <v>X</v>
      </c>
      <c r="AB530" s="176">
        <f t="shared" si="453"/>
        <v>5.18</v>
      </c>
      <c r="AC530" s="178" t="str">
        <f t="shared" si="454"/>
        <v xml:space="preserve"> </v>
      </c>
      <c r="AD530" s="176">
        <f t="shared" si="455"/>
        <v>0</v>
      </c>
      <c r="AE530" s="178" t="str">
        <f t="shared" si="456"/>
        <v xml:space="preserve"> </v>
      </c>
      <c r="AF530" s="176">
        <f t="shared" si="457"/>
        <v>0</v>
      </c>
      <c r="AG530" s="178" t="str">
        <f t="shared" si="458"/>
        <v/>
      </c>
      <c r="AH530" s="176">
        <f t="shared" si="459"/>
        <v>0</v>
      </c>
    </row>
    <row r="531" spans="2:34" ht="16.5" outlineLevel="1" x14ac:dyDescent="0.25">
      <c r="B531" s="175" t="s">
        <v>2646</v>
      </c>
      <c r="C531" s="176">
        <v>27.26</v>
      </c>
      <c r="D531" s="176">
        <v>21.74</v>
      </c>
      <c r="E531" s="194">
        <v>3</v>
      </c>
      <c r="F531" s="194">
        <v>0</v>
      </c>
      <c r="G531" s="194">
        <f t="shared" si="441"/>
        <v>3</v>
      </c>
      <c r="H531" s="176"/>
      <c r="I531" s="178" t="str">
        <f t="shared" si="442"/>
        <v>X</v>
      </c>
      <c r="J531" s="176">
        <f t="shared" si="443"/>
        <v>65.22</v>
      </c>
      <c r="K531" s="178" t="str">
        <f t="shared" si="444"/>
        <v xml:space="preserve"> </v>
      </c>
      <c r="L531" s="176">
        <f t="shared" si="445"/>
        <v>0</v>
      </c>
      <c r="M531" s="178" t="str">
        <f t="shared" si="446"/>
        <v>X</v>
      </c>
      <c r="N531" s="177">
        <f t="shared" si="447"/>
        <v>65.22</v>
      </c>
      <c r="O531" s="178" t="str">
        <f t="shared" si="448"/>
        <v xml:space="preserve"> </v>
      </c>
      <c r="P531" s="176">
        <v>1</v>
      </c>
      <c r="Q531" s="178" t="s">
        <v>0</v>
      </c>
      <c r="R531" s="176"/>
      <c r="S531" s="178" t="s">
        <v>2578</v>
      </c>
      <c r="T531" s="178" t="str">
        <f t="shared" si="449"/>
        <v>X</v>
      </c>
      <c r="U531" s="176">
        <f t="shared" si="460"/>
        <v>65.22</v>
      </c>
      <c r="V531" s="178" t="str">
        <f t="shared" si="450"/>
        <v xml:space="preserve"> </v>
      </c>
      <c r="W531" s="176">
        <f t="shared" si="461"/>
        <v>0</v>
      </c>
      <c r="X531" s="178" t="str">
        <f t="shared" si="451"/>
        <v xml:space="preserve"> </v>
      </c>
      <c r="Y531" s="176">
        <f t="shared" si="462"/>
        <v>0</v>
      </c>
      <c r="Z531" s="178" t="s">
        <v>2581</v>
      </c>
      <c r="AA531" s="178" t="str">
        <f t="shared" si="452"/>
        <v>X</v>
      </c>
      <c r="AB531" s="176">
        <f t="shared" si="453"/>
        <v>27.26</v>
      </c>
      <c r="AC531" s="178" t="str">
        <f t="shared" si="454"/>
        <v xml:space="preserve"> </v>
      </c>
      <c r="AD531" s="176">
        <f t="shared" si="455"/>
        <v>0</v>
      </c>
      <c r="AE531" s="178" t="str">
        <f t="shared" si="456"/>
        <v xml:space="preserve"> </v>
      </c>
      <c r="AF531" s="176">
        <f t="shared" si="457"/>
        <v>0</v>
      </c>
      <c r="AG531" s="178" t="str">
        <f t="shared" si="458"/>
        <v>X</v>
      </c>
      <c r="AH531" s="176">
        <f t="shared" si="459"/>
        <v>21.74</v>
      </c>
    </row>
    <row r="532" spans="2:34" ht="16.5" outlineLevel="1" x14ac:dyDescent="0.25">
      <c r="B532" s="175" t="s">
        <v>2647</v>
      </c>
      <c r="C532" s="176">
        <v>5.18</v>
      </c>
      <c r="D532" s="176">
        <v>9.99</v>
      </c>
      <c r="E532" s="194">
        <v>3</v>
      </c>
      <c r="F532" s="194">
        <v>2.1</v>
      </c>
      <c r="G532" s="194">
        <f t="shared" si="441"/>
        <v>0.89999999999999991</v>
      </c>
      <c r="H532" s="176"/>
      <c r="I532" s="178" t="str">
        <f t="shared" si="442"/>
        <v>X</v>
      </c>
      <c r="J532" s="176">
        <f t="shared" si="443"/>
        <v>29.97</v>
      </c>
      <c r="K532" s="178" t="str">
        <f t="shared" si="444"/>
        <v>X</v>
      </c>
      <c r="L532" s="176">
        <f t="shared" si="445"/>
        <v>20.979000000000003</v>
      </c>
      <c r="M532" s="178" t="str">
        <f t="shared" si="446"/>
        <v>X</v>
      </c>
      <c r="N532" s="177">
        <f t="shared" si="447"/>
        <v>8.9909999999999961</v>
      </c>
      <c r="O532" s="178" t="str">
        <f t="shared" si="448"/>
        <v>X</v>
      </c>
      <c r="P532" s="176">
        <f>IF(L532&gt;0,L532,0)</f>
        <v>20.979000000000003</v>
      </c>
      <c r="Q532" s="178" t="s">
        <v>0</v>
      </c>
      <c r="R532" s="176"/>
      <c r="S532" s="178" t="s">
        <v>2578</v>
      </c>
      <c r="T532" s="178" t="str">
        <f t="shared" si="449"/>
        <v>X</v>
      </c>
      <c r="U532" s="176">
        <f t="shared" si="460"/>
        <v>8.9909999999999961</v>
      </c>
      <c r="V532" s="178" t="str">
        <f t="shared" si="450"/>
        <v xml:space="preserve"> </v>
      </c>
      <c r="W532" s="176">
        <f t="shared" si="461"/>
        <v>0</v>
      </c>
      <c r="X532" s="178" t="str">
        <f t="shared" si="451"/>
        <v xml:space="preserve"> </v>
      </c>
      <c r="Y532" s="176">
        <f t="shared" si="462"/>
        <v>0</v>
      </c>
      <c r="Z532" s="178" t="s">
        <v>2581</v>
      </c>
      <c r="AA532" s="178" t="str">
        <f t="shared" si="452"/>
        <v>X</v>
      </c>
      <c r="AB532" s="176">
        <f t="shared" si="453"/>
        <v>5.18</v>
      </c>
      <c r="AC532" s="178" t="str">
        <f t="shared" si="454"/>
        <v xml:space="preserve"> </v>
      </c>
      <c r="AD532" s="176">
        <f t="shared" si="455"/>
        <v>0</v>
      </c>
      <c r="AE532" s="178" t="str">
        <f t="shared" si="456"/>
        <v xml:space="preserve"> </v>
      </c>
      <c r="AF532" s="176">
        <f t="shared" si="457"/>
        <v>0</v>
      </c>
      <c r="AG532" s="178" t="str">
        <f t="shared" si="458"/>
        <v/>
      </c>
      <c r="AH532" s="176">
        <f t="shared" si="459"/>
        <v>0</v>
      </c>
    </row>
    <row r="533" spans="2:34" ht="16.5" outlineLevel="1" x14ac:dyDescent="0.25">
      <c r="B533" s="175" t="s">
        <v>2648</v>
      </c>
      <c r="C533" s="176">
        <v>27.12</v>
      </c>
      <c r="D533" s="176">
        <v>21.68</v>
      </c>
      <c r="E533" s="194">
        <v>3</v>
      </c>
      <c r="F533" s="194">
        <v>0</v>
      </c>
      <c r="G533" s="194">
        <f t="shared" si="441"/>
        <v>3</v>
      </c>
      <c r="H533" s="176"/>
      <c r="I533" s="178" t="str">
        <f t="shared" si="442"/>
        <v>X</v>
      </c>
      <c r="J533" s="176">
        <f t="shared" si="443"/>
        <v>65.039999999999992</v>
      </c>
      <c r="K533" s="178" t="str">
        <f t="shared" si="444"/>
        <v xml:space="preserve"> </v>
      </c>
      <c r="L533" s="176">
        <f t="shared" si="445"/>
        <v>0</v>
      </c>
      <c r="M533" s="178" t="str">
        <f t="shared" si="446"/>
        <v>X</v>
      </c>
      <c r="N533" s="177">
        <f t="shared" si="447"/>
        <v>65.039999999999992</v>
      </c>
      <c r="O533" s="178" t="str">
        <f t="shared" si="448"/>
        <v xml:space="preserve"> </v>
      </c>
      <c r="P533" s="176">
        <v>1</v>
      </c>
      <c r="Q533" s="178" t="s">
        <v>0</v>
      </c>
      <c r="R533" s="176"/>
      <c r="S533" s="178" t="s">
        <v>2578</v>
      </c>
      <c r="T533" s="178" t="str">
        <f t="shared" si="449"/>
        <v>X</v>
      </c>
      <c r="U533" s="176">
        <f t="shared" si="460"/>
        <v>65.039999999999992</v>
      </c>
      <c r="V533" s="178" t="str">
        <f t="shared" si="450"/>
        <v xml:space="preserve"> </v>
      </c>
      <c r="W533" s="176">
        <f t="shared" si="461"/>
        <v>0</v>
      </c>
      <c r="X533" s="178" t="str">
        <f t="shared" si="451"/>
        <v xml:space="preserve"> </v>
      </c>
      <c r="Y533" s="176">
        <f t="shared" si="462"/>
        <v>0</v>
      </c>
      <c r="Z533" s="178" t="s">
        <v>2581</v>
      </c>
      <c r="AA533" s="178" t="str">
        <f t="shared" si="452"/>
        <v>X</v>
      </c>
      <c r="AB533" s="176">
        <f t="shared" si="453"/>
        <v>27.12</v>
      </c>
      <c r="AC533" s="178" t="str">
        <f t="shared" si="454"/>
        <v xml:space="preserve"> </v>
      </c>
      <c r="AD533" s="176">
        <f t="shared" si="455"/>
        <v>0</v>
      </c>
      <c r="AE533" s="178" t="str">
        <f t="shared" si="456"/>
        <v xml:space="preserve"> </v>
      </c>
      <c r="AF533" s="176">
        <f t="shared" si="457"/>
        <v>0</v>
      </c>
      <c r="AG533" s="178" t="str">
        <f t="shared" si="458"/>
        <v>X</v>
      </c>
      <c r="AH533" s="176">
        <f t="shared" si="459"/>
        <v>21.68</v>
      </c>
    </row>
    <row r="534" spans="2:34" ht="16.5" outlineLevel="1" x14ac:dyDescent="0.25">
      <c r="B534" s="175" t="s">
        <v>2649</v>
      </c>
      <c r="C534" s="176">
        <v>5.18</v>
      </c>
      <c r="D534" s="176">
        <v>9.99</v>
      </c>
      <c r="E534" s="194">
        <v>3</v>
      </c>
      <c r="F534" s="194">
        <v>2.1</v>
      </c>
      <c r="G534" s="194">
        <f t="shared" si="441"/>
        <v>0.89999999999999991</v>
      </c>
      <c r="H534" s="176"/>
      <c r="I534" s="178" t="str">
        <f t="shared" si="442"/>
        <v>X</v>
      </c>
      <c r="J534" s="176">
        <f t="shared" si="443"/>
        <v>29.97</v>
      </c>
      <c r="K534" s="178" t="str">
        <f t="shared" si="444"/>
        <v>X</v>
      </c>
      <c r="L534" s="176">
        <f t="shared" si="445"/>
        <v>20.979000000000003</v>
      </c>
      <c r="M534" s="178" t="str">
        <f t="shared" si="446"/>
        <v>X</v>
      </c>
      <c r="N534" s="177">
        <f t="shared" si="447"/>
        <v>8.9909999999999961</v>
      </c>
      <c r="O534" s="178" t="str">
        <f t="shared" si="448"/>
        <v>X</v>
      </c>
      <c r="P534" s="176">
        <f>IF(L534&gt;0,L534,0)</f>
        <v>20.979000000000003</v>
      </c>
      <c r="Q534" s="178" t="s">
        <v>0</v>
      </c>
      <c r="R534" s="176"/>
      <c r="S534" s="178" t="s">
        <v>2578</v>
      </c>
      <c r="T534" s="178" t="str">
        <f t="shared" si="449"/>
        <v>X</v>
      </c>
      <c r="U534" s="176">
        <f t="shared" si="460"/>
        <v>8.9909999999999961</v>
      </c>
      <c r="V534" s="178" t="str">
        <f t="shared" si="450"/>
        <v xml:space="preserve"> </v>
      </c>
      <c r="W534" s="176">
        <f t="shared" si="461"/>
        <v>0</v>
      </c>
      <c r="X534" s="178" t="str">
        <f t="shared" si="451"/>
        <v xml:space="preserve"> </v>
      </c>
      <c r="Y534" s="176">
        <f t="shared" si="462"/>
        <v>0</v>
      </c>
      <c r="Z534" s="178" t="s">
        <v>2581</v>
      </c>
      <c r="AA534" s="178" t="str">
        <f t="shared" si="452"/>
        <v>X</v>
      </c>
      <c r="AB534" s="176">
        <f t="shared" si="453"/>
        <v>5.18</v>
      </c>
      <c r="AC534" s="178" t="str">
        <f t="shared" si="454"/>
        <v xml:space="preserve"> </v>
      </c>
      <c r="AD534" s="176">
        <f t="shared" si="455"/>
        <v>0</v>
      </c>
      <c r="AE534" s="178" t="str">
        <f t="shared" si="456"/>
        <v xml:space="preserve"> </v>
      </c>
      <c r="AF534" s="176">
        <f t="shared" si="457"/>
        <v>0</v>
      </c>
      <c r="AG534" s="178" t="str">
        <f t="shared" si="458"/>
        <v/>
      </c>
      <c r="AH534" s="176">
        <f t="shared" si="459"/>
        <v>0</v>
      </c>
    </row>
    <row r="535" spans="2:34" ht="16.5" outlineLevel="1" x14ac:dyDescent="0.25">
      <c r="B535" s="175" t="s">
        <v>2651</v>
      </c>
      <c r="C535" s="176">
        <v>27.17</v>
      </c>
      <c r="D535" s="176">
        <v>21.67</v>
      </c>
      <c r="E535" s="194">
        <v>3</v>
      </c>
      <c r="F535" s="194">
        <v>0</v>
      </c>
      <c r="G535" s="194">
        <f t="shared" si="441"/>
        <v>3</v>
      </c>
      <c r="H535" s="176"/>
      <c r="I535" s="178" t="str">
        <f t="shared" si="442"/>
        <v>X</v>
      </c>
      <c r="J535" s="176">
        <f t="shared" si="443"/>
        <v>65.010000000000005</v>
      </c>
      <c r="K535" s="178" t="str">
        <f t="shared" si="444"/>
        <v xml:space="preserve"> </v>
      </c>
      <c r="L535" s="176">
        <f t="shared" si="445"/>
        <v>0</v>
      </c>
      <c r="M535" s="178" t="str">
        <f t="shared" si="446"/>
        <v>X</v>
      </c>
      <c r="N535" s="177">
        <f t="shared" si="447"/>
        <v>65.010000000000005</v>
      </c>
      <c r="O535" s="178" t="str">
        <f t="shared" si="448"/>
        <v xml:space="preserve"> </v>
      </c>
      <c r="P535" s="176">
        <v>1</v>
      </c>
      <c r="Q535" s="178" t="s">
        <v>0</v>
      </c>
      <c r="R535" s="176"/>
      <c r="S535" s="178" t="s">
        <v>2578</v>
      </c>
      <c r="T535" s="178" t="str">
        <f t="shared" si="449"/>
        <v>X</v>
      </c>
      <c r="U535" s="176">
        <f t="shared" si="460"/>
        <v>65.010000000000005</v>
      </c>
      <c r="V535" s="178" t="str">
        <f t="shared" si="450"/>
        <v xml:space="preserve"> </v>
      </c>
      <c r="W535" s="176">
        <f t="shared" si="461"/>
        <v>0</v>
      </c>
      <c r="X535" s="178" t="str">
        <f t="shared" si="451"/>
        <v xml:space="preserve"> </v>
      </c>
      <c r="Y535" s="176">
        <f t="shared" si="462"/>
        <v>0</v>
      </c>
      <c r="Z535" s="178" t="s">
        <v>2581</v>
      </c>
      <c r="AA535" s="178" t="str">
        <f t="shared" si="452"/>
        <v>X</v>
      </c>
      <c r="AB535" s="176">
        <f t="shared" si="453"/>
        <v>27.17</v>
      </c>
      <c r="AC535" s="178" t="str">
        <f t="shared" si="454"/>
        <v xml:space="preserve"> </v>
      </c>
      <c r="AD535" s="176">
        <f t="shared" si="455"/>
        <v>0</v>
      </c>
      <c r="AE535" s="178" t="str">
        <f t="shared" si="456"/>
        <v xml:space="preserve"> </v>
      </c>
      <c r="AF535" s="176">
        <f t="shared" si="457"/>
        <v>0</v>
      </c>
      <c r="AG535" s="178" t="str">
        <f t="shared" si="458"/>
        <v>X</v>
      </c>
      <c r="AH535" s="176">
        <f t="shared" si="459"/>
        <v>21.67</v>
      </c>
    </row>
    <row r="536" spans="2:34" ht="16.5" outlineLevel="1" x14ac:dyDescent="0.25">
      <c r="B536" s="175" t="s">
        <v>2652</v>
      </c>
      <c r="C536" s="176">
        <v>5.18</v>
      </c>
      <c r="D536" s="176">
        <v>9.99</v>
      </c>
      <c r="E536" s="194">
        <v>3</v>
      </c>
      <c r="F536" s="194">
        <v>2.1</v>
      </c>
      <c r="G536" s="194">
        <f t="shared" si="441"/>
        <v>0.89999999999999991</v>
      </c>
      <c r="H536" s="176"/>
      <c r="I536" s="178" t="str">
        <f t="shared" si="442"/>
        <v>X</v>
      </c>
      <c r="J536" s="176">
        <f t="shared" si="443"/>
        <v>29.97</v>
      </c>
      <c r="K536" s="178" t="str">
        <f t="shared" si="444"/>
        <v>X</v>
      </c>
      <c r="L536" s="176">
        <f t="shared" si="445"/>
        <v>20.979000000000003</v>
      </c>
      <c r="M536" s="178" t="str">
        <f t="shared" si="446"/>
        <v>X</v>
      </c>
      <c r="N536" s="177">
        <f t="shared" si="447"/>
        <v>8.9909999999999961</v>
      </c>
      <c r="O536" s="178" t="str">
        <f t="shared" si="448"/>
        <v>X</v>
      </c>
      <c r="P536" s="176">
        <f>IF(L536&gt;0,L536,0)</f>
        <v>20.979000000000003</v>
      </c>
      <c r="Q536" s="178" t="s">
        <v>0</v>
      </c>
      <c r="R536" s="176"/>
      <c r="S536" s="178" t="s">
        <v>2578</v>
      </c>
      <c r="T536" s="178" t="str">
        <f t="shared" si="449"/>
        <v>X</v>
      </c>
      <c r="U536" s="176">
        <f t="shared" si="460"/>
        <v>8.9909999999999961</v>
      </c>
      <c r="V536" s="178" t="str">
        <f t="shared" si="450"/>
        <v xml:space="preserve"> </v>
      </c>
      <c r="W536" s="176">
        <f t="shared" si="461"/>
        <v>0</v>
      </c>
      <c r="X536" s="178" t="str">
        <f t="shared" si="451"/>
        <v xml:space="preserve"> </v>
      </c>
      <c r="Y536" s="176">
        <f t="shared" si="462"/>
        <v>0</v>
      </c>
      <c r="Z536" s="178" t="s">
        <v>2581</v>
      </c>
      <c r="AA536" s="178" t="str">
        <f t="shared" si="452"/>
        <v>X</v>
      </c>
      <c r="AB536" s="176">
        <f t="shared" si="453"/>
        <v>5.18</v>
      </c>
      <c r="AC536" s="178" t="str">
        <f t="shared" si="454"/>
        <v xml:space="preserve"> </v>
      </c>
      <c r="AD536" s="176">
        <f t="shared" si="455"/>
        <v>0</v>
      </c>
      <c r="AE536" s="178" t="str">
        <f t="shared" si="456"/>
        <v xml:space="preserve"> </v>
      </c>
      <c r="AF536" s="176">
        <f t="shared" si="457"/>
        <v>0</v>
      </c>
      <c r="AG536" s="178" t="str">
        <f t="shared" si="458"/>
        <v/>
      </c>
      <c r="AH536" s="176">
        <f t="shared" si="459"/>
        <v>0</v>
      </c>
    </row>
    <row r="537" spans="2:34" ht="16.5" outlineLevel="1" x14ac:dyDescent="0.25">
      <c r="B537" s="175" t="s">
        <v>2594</v>
      </c>
      <c r="C537" s="176">
        <v>78.13</v>
      </c>
      <c r="D537" s="176">
        <v>76.77</v>
      </c>
      <c r="E537" s="194">
        <v>3</v>
      </c>
      <c r="F537" s="194">
        <v>0</v>
      </c>
      <c r="G537" s="194">
        <f t="shared" si="441"/>
        <v>3</v>
      </c>
      <c r="H537" s="176"/>
      <c r="I537" s="178" t="str">
        <f t="shared" si="442"/>
        <v>X</v>
      </c>
      <c r="J537" s="176">
        <f t="shared" si="443"/>
        <v>230.31</v>
      </c>
      <c r="K537" s="178" t="str">
        <f t="shared" si="444"/>
        <v xml:space="preserve"> </v>
      </c>
      <c r="L537" s="176">
        <f t="shared" si="445"/>
        <v>0</v>
      </c>
      <c r="M537" s="178" t="str">
        <f t="shared" si="446"/>
        <v>X</v>
      </c>
      <c r="N537" s="177">
        <f t="shared" si="447"/>
        <v>230.31</v>
      </c>
      <c r="O537" s="178" t="str">
        <f t="shared" si="448"/>
        <v xml:space="preserve"> </v>
      </c>
      <c r="P537" s="176">
        <f>IF(L537&gt;0,L537,0)</f>
        <v>0</v>
      </c>
      <c r="Q537" s="178" t="s">
        <v>0</v>
      </c>
      <c r="R537" s="176"/>
      <c r="S537" s="178" t="s">
        <v>2578</v>
      </c>
      <c r="T537" s="178" t="str">
        <f t="shared" si="449"/>
        <v>X</v>
      </c>
      <c r="U537" s="176">
        <f t="shared" si="460"/>
        <v>230.31</v>
      </c>
      <c r="V537" s="178" t="str">
        <f t="shared" si="450"/>
        <v xml:space="preserve"> </v>
      </c>
      <c r="W537" s="176">
        <f t="shared" si="461"/>
        <v>0</v>
      </c>
      <c r="X537" s="178" t="str">
        <f t="shared" si="451"/>
        <v xml:space="preserve"> </v>
      </c>
      <c r="Y537" s="176">
        <f t="shared" si="462"/>
        <v>0</v>
      </c>
      <c r="Z537" s="178" t="s">
        <v>2582</v>
      </c>
      <c r="AA537" s="178" t="str">
        <f t="shared" si="452"/>
        <v xml:space="preserve"> </v>
      </c>
      <c r="AB537" s="176">
        <f t="shared" si="453"/>
        <v>0</v>
      </c>
      <c r="AC537" s="178" t="str">
        <f t="shared" si="454"/>
        <v>X</v>
      </c>
      <c r="AD537" s="176">
        <f t="shared" si="455"/>
        <v>78.13</v>
      </c>
      <c r="AE537" s="178" t="str">
        <f t="shared" si="456"/>
        <v xml:space="preserve"> </v>
      </c>
      <c r="AF537" s="176">
        <f t="shared" si="457"/>
        <v>0</v>
      </c>
      <c r="AG537" s="178" t="str">
        <f t="shared" si="458"/>
        <v>X</v>
      </c>
      <c r="AH537" s="176">
        <f t="shared" si="459"/>
        <v>76.77</v>
      </c>
    </row>
    <row r="538" spans="2:34" ht="16.5" outlineLevel="1" x14ac:dyDescent="0.25">
      <c r="B538" s="175" t="s">
        <v>2657</v>
      </c>
      <c r="C538" s="176">
        <v>25.85</v>
      </c>
      <c r="D538" s="176">
        <v>21.31</v>
      </c>
      <c r="E538" s="194">
        <v>3</v>
      </c>
      <c r="F538" s="194">
        <v>0</v>
      </c>
      <c r="G538" s="194">
        <f t="shared" si="441"/>
        <v>3</v>
      </c>
      <c r="H538" s="176"/>
      <c r="I538" s="178" t="str">
        <f t="shared" si="442"/>
        <v>X</v>
      </c>
      <c r="J538" s="176">
        <f t="shared" si="443"/>
        <v>63.929999999999993</v>
      </c>
      <c r="K538" s="178" t="str">
        <f t="shared" si="444"/>
        <v xml:space="preserve"> </v>
      </c>
      <c r="L538" s="176">
        <f t="shared" si="445"/>
        <v>0</v>
      </c>
      <c r="M538" s="178" t="str">
        <f t="shared" si="446"/>
        <v>X</v>
      </c>
      <c r="N538" s="177">
        <f t="shared" si="447"/>
        <v>63.929999999999993</v>
      </c>
      <c r="O538" s="178" t="str">
        <f t="shared" si="448"/>
        <v xml:space="preserve"> </v>
      </c>
      <c r="P538" s="176">
        <v>1</v>
      </c>
      <c r="Q538" s="178" t="s">
        <v>0</v>
      </c>
      <c r="R538" s="176"/>
      <c r="S538" s="178" t="s">
        <v>2578</v>
      </c>
      <c r="T538" s="178" t="str">
        <f t="shared" si="449"/>
        <v>X</v>
      </c>
      <c r="U538" s="176">
        <f t="shared" si="460"/>
        <v>63.929999999999993</v>
      </c>
      <c r="V538" s="178" t="str">
        <f t="shared" si="450"/>
        <v xml:space="preserve"> </v>
      </c>
      <c r="W538" s="176">
        <f t="shared" si="461"/>
        <v>0</v>
      </c>
      <c r="X538" s="178" t="str">
        <f t="shared" si="451"/>
        <v xml:space="preserve"> </v>
      </c>
      <c r="Y538" s="176">
        <f t="shared" si="462"/>
        <v>0</v>
      </c>
      <c r="Z538" s="178" t="s">
        <v>2581</v>
      </c>
      <c r="AA538" s="178" t="str">
        <f t="shared" si="452"/>
        <v>X</v>
      </c>
      <c r="AB538" s="176">
        <f t="shared" si="453"/>
        <v>25.85</v>
      </c>
      <c r="AC538" s="178" t="str">
        <f t="shared" si="454"/>
        <v xml:space="preserve"> </v>
      </c>
      <c r="AD538" s="176">
        <f t="shared" si="455"/>
        <v>0</v>
      </c>
      <c r="AE538" s="178" t="str">
        <f t="shared" si="456"/>
        <v xml:space="preserve"> </v>
      </c>
      <c r="AF538" s="176">
        <f t="shared" si="457"/>
        <v>0</v>
      </c>
      <c r="AG538" s="178" t="str">
        <f t="shared" si="458"/>
        <v>X</v>
      </c>
      <c r="AH538" s="176">
        <f t="shared" si="459"/>
        <v>21.31</v>
      </c>
    </row>
    <row r="539" spans="2:34" ht="16.5" outlineLevel="1" x14ac:dyDescent="0.25">
      <c r="B539" s="175" t="s">
        <v>2658</v>
      </c>
      <c r="C539" s="176">
        <v>5.18</v>
      </c>
      <c r="D539" s="176">
        <v>9.99</v>
      </c>
      <c r="E539" s="194">
        <v>3</v>
      </c>
      <c r="F539" s="194">
        <v>2.1</v>
      </c>
      <c r="G539" s="194">
        <f t="shared" si="441"/>
        <v>0.89999999999999991</v>
      </c>
      <c r="H539" s="176"/>
      <c r="I539" s="178" t="str">
        <f t="shared" si="442"/>
        <v>X</v>
      </c>
      <c r="J539" s="176">
        <f t="shared" si="443"/>
        <v>29.97</v>
      </c>
      <c r="K539" s="178" t="str">
        <f t="shared" si="444"/>
        <v>X</v>
      </c>
      <c r="L539" s="176">
        <f t="shared" si="445"/>
        <v>20.979000000000003</v>
      </c>
      <c r="M539" s="178" t="str">
        <f t="shared" si="446"/>
        <v>X</v>
      </c>
      <c r="N539" s="177">
        <f t="shared" si="447"/>
        <v>8.9909999999999961</v>
      </c>
      <c r="O539" s="178" t="str">
        <f t="shared" si="448"/>
        <v>X</v>
      </c>
      <c r="P539" s="176">
        <f>IF(L539&gt;0,L539,0)</f>
        <v>20.979000000000003</v>
      </c>
      <c r="Q539" s="178" t="s">
        <v>0</v>
      </c>
      <c r="R539" s="176"/>
      <c r="S539" s="178" t="s">
        <v>2578</v>
      </c>
      <c r="T539" s="178" t="str">
        <f t="shared" si="449"/>
        <v>X</v>
      </c>
      <c r="U539" s="176">
        <f t="shared" si="460"/>
        <v>8.9909999999999961</v>
      </c>
      <c r="V539" s="178" t="str">
        <f t="shared" si="450"/>
        <v xml:space="preserve"> </v>
      </c>
      <c r="W539" s="176">
        <f t="shared" si="461"/>
        <v>0</v>
      </c>
      <c r="X539" s="178" t="str">
        <f t="shared" si="451"/>
        <v xml:space="preserve"> </v>
      </c>
      <c r="Y539" s="176">
        <f t="shared" si="462"/>
        <v>0</v>
      </c>
      <c r="Z539" s="178" t="s">
        <v>2581</v>
      </c>
      <c r="AA539" s="178" t="str">
        <f t="shared" si="452"/>
        <v>X</v>
      </c>
      <c r="AB539" s="176">
        <f t="shared" si="453"/>
        <v>5.18</v>
      </c>
      <c r="AC539" s="178" t="str">
        <f t="shared" si="454"/>
        <v xml:space="preserve"> </v>
      </c>
      <c r="AD539" s="176">
        <f t="shared" si="455"/>
        <v>0</v>
      </c>
      <c r="AE539" s="178" t="str">
        <f t="shared" si="456"/>
        <v xml:space="preserve"> </v>
      </c>
      <c r="AF539" s="176">
        <f t="shared" si="457"/>
        <v>0</v>
      </c>
      <c r="AG539" s="178" t="str">
        <f t="shared" si="458"/>
        <v/>
      </c>
      <c r="AH539" s="176">
        <f t="shared" si="459"/>
        <v>0</v>
      </c>
    </row>
    <row r="540" spans="2:34" ht="16.5" outlineLevel="1" x14ac:dyDescent="0.25">
      <c r="B540" s="175" t="s">
        <v>2730</v>
      </c>
      <c r="C540" s="176">
        <v>12.78</v>
      </c>
      <c r="D540" s="176">
        <v>14.76</v>
      </c>
      <c r="E540" s="194">
        <v>3</v>
      </c>
      <c r="F540" s="194">
        <v>0</v>
      </c>
      <c r="G540" s="194">
        <f t="shared" si="441"/>
        <v>3</v>
      </c>
      <c r="H540" s="176"/>
      <c r="I540" s="178" t="str">
        <f t="shared" si="442"/>
        <v>X</v>
      </c>
      <c r="J540" s="176">
        <f t="shared" si="443"/>
        <v>44.28</v>
      </c>
      <c r="K540" s="178" t="str">
        <f t="shared" si="444"/>
        <v xml:space="preserve"> </v>
      </c>
      <c r="L540" s="176">
        <f t="shared" si="445"/>
        <v>0</v>
      </c>
      <c r="M540" s="178" t="str">
        <f t="shared" si="446"/>
        <v>X</v>
      </c>
      <c r="N540" s="177">
        <f t="shared" si="447"/>
        <v>44.28</v>
      </c>
      <c r="O540" s="178" t="str">
        <f t="shared" si="448"/>
        <v xml:space="preserve"> </v>
      </c>
      <c r="P540" s="176">
        <v>1</v>
      </c>
      <c r="Q540" s="178" t="s">
        <v>0</v>
      </c>
      <c r="R540" s="176"/>
      <c r="S540" s="178" t="s">
        <v>2578</v>
      </c>
      <c r="T540" s="178" t="str">
        <f t="shared" si="449"/>
        <v>X</v>
      </c>
      <c r="U540" s="176">
        <f t="shared" si="460"/>
        <v>44.28</v>
      </c>
      <c r="V540" s="178" t="str">
        <f t="shared" si="450"/>
        <v xml:space="preserve"> </v>
      </c>
      <c r="W540" s="176">
        <f t="shared" si="461"/>
        <v>0</v>
      </c>
      <c r="X540" s="178" t="str">
        <f t="shared" si="451"/>
        <v xml:space="preserve"> </v>
      </c>
      <c r="Y540" s="176">
        <f t="shared" si="462"/>
        <v>0</v>
      </c>
      <c r="Z540" s="178" t="s">
        <v>2582</v>
      </c>
      <c r="AA540" s="178" t="str">
        <f t="shared" si="452"/>
        <v xml:space="preserve"> </v>
      </c>
      <c r="AB540" s="176">
        <f t="shared" si="453"/>
        <v>0</v>
      </c>
      <c r="AC540" s="178" t="str">
        <f t="shared" si="454"/>
        <v>X</v>
      </c>
      <c r="AD540" s="176">
        <f t="shared" si="455"/>
        <v>12.78</v>
      </c>
      <c r="AE540" s="178" t="str">
        <f t="shared" si="456"/>
        <v xml:space="preserve"> </v>
      </c>
      <c r="AF540" s="176">
        <f t="shared" si="457"/>
        <v>0</v>
      </c>
      <c r="AG540" s="178" t="str">
        <f t="shared" si="458"/>
        <v>X</v>
      </c>
      <c r="AH540" s="176">
        <f t="shared" si="459"/>
        <v>14.76</v>
      </c>
    </row>
    <row r="541" spans="2:34" ht="16.5" outlineLevel="1" x14ac:dyDescent="0.25">
      <c r="B541" s="175" t="s">
        <v>2666</v>
      </c>
      <c r="C541" s="176">
        <v>4.0999999999999996</v>
      </c>
      <c r="D541" s="176">
        <v>8.6999999999999993</v>
      </c>
      <c r="E541" s="194">
        <v>3</v>
      </c>
      <c r="F541" s="194">
        <v>2.1</v>
      </c>
      <c r="G541" s="194">
        <f t="shared" si="441"/>
        <v>0.89999999999999991</v>
      </c>
      <c r="H541" s="176"/>
      <c r="I541" s="178" t="str">
        <f t="shared" si="442"/>
        <v>X</v>
      </c>
      <c r="J541" s="176">
        <f t="shared" si="443"/>
        <v>26.099999999999998</v>
      </c>
      <c r="K541" s="178" t="str">
        <f t="shared" si="444"/>
        <v>X</v>
      </c>
      <c r="L541" s="176">
        <f t="shared" si="445"/>
        <v>18.27</v>
      </c>
      <c r="M541" s="178" t="str">
        <f t="shared" si="446"/>
        <v>X</v>
      </c>
      <c r="N541" s="177">
        <f t="shared" si="447"/>
        <v>7.8299999999999983</v>
      </c>
      <c r="O541" s="178" t="str">
        <f t="shared" si="448"/>
        <v>X</v>
      </c>
      <c r="P541" s="176">
        <f t="shared" ref="P541:P546" si="463">IF(L541&gt;0,L541,0)</f>
        <v>18.27</v>
      </c>
      <c r="Q541" s="178" t="s">
        <v>0</v>
      </c>
      <c r="R541" s="176"/>
      <c r="S541" s="178" t="s">
        <v>2578</v>
      </c>
      <c r="T541" s="178" t="str">
        <f t="shared" si="449"/>
        <v>X</v>
      </c>
      <c r="U541" s="176">
        <f t="shared" si="460"/>
        <v>7.8299999999999983</v>
      </c>
      <c r="V541" s="178" t="str">
        <f t="shared" si="450"/>
        <v xml:space="preserve"> </v>
      </c>
      <c r="W541" s="176">
        <f t="shared" si="461"/>
        <v>0</v>
      </c>
      <c r="X541" s="178" t="str">
        <f t="shared" si="451"/>
        <v xml:space="preserve"> </v>
      </c>
      <c r="Y541" s="176">
        <f t="shared" si="462"/>
        <v>0</v>
      </c>
      <c r="Z541" s="178" t="s">
        <v>2581</v>
      </c>
      <c r="AA541" s="178" t="str">
        <f t="shared" si="452"/>
        <v>X</v>
      </c>
      <c r="AB541" s="176">
        <f t="shared" si="453"/>
        <v>4.0999999999999996</v>
      </c>
      <c r="AC541" s="178" t="str">
        <f t="shared" si="454"/>
        <v xml:space="preserve"> </v>
      </c>
      <c r="AD541" s="176">
        <f t="shared" si="455"/>
        <v>0</v>
      </c>
      <c r="AE541" s="178" t="str">
        <f t="shared" si="456"/>
        <v xml:space="preserve"> </v>
      </c>
      <c r="AF541" s="176">
        <f t="shared" si="457"/>
        <v>0</v>
      </c>
      <c r="AG541" s="178" t="str">
        <f t="shared" si="458"/>
        <v/>
      </c>
      <c r="AH541" s="176">
        <f t="shared" si="459"/>
        <v>0</v>
      </c>
    </row>
    <row r="542" spans="2:34" ht="16.5" outlineLevel="1" x14ac:dyDescent="0.25">
      <c r="B542" s="175" t="s">
        <v>2591</v>
      </c>
      <c r="C542" s="176">
        <v>3.14</v>
      </c>
      <c r="D542" s="176">
        <v>7.1</v>
      </c>
      <c r="E542" s="194">
        <v>3</v>
      </c>
      <c r="F542" s="194">
        <v>2.1</v>
      </c>
      <c r="G542" s="194">
        <f t="shared" si="441"/>
        <v>0.89999999999999991</v>
      </c>
      <c r="H542" s="176"/>
      <c r="I542" s="178" t="str">
        <f t="shared" si="442"/>
        <v>X</v>
      </c>
      <c r="J542" s="176">
        <f t="shared" si="443"/>
        <v>21.299999999999997</v>
      </c>
      <c r="K542" s="178" t="str">
        <f t="shared" si="444"/>
        <v>X</v>
      </c>
      <c r="L542" s="176">
        <f t="shared" si="445"/>
        <v>14.91</v>
      </c>
      <c r="M542" s="178" t="str">
        <f t="shared" si="446"/>
        <v>X</v>
      </c>
      <c r="N542" s="177">
        <f t="shared" si="447"/>
        <v>6.389999999999997</v>
      </c>
      <c r="O542" s="178" t="str">
        <f t="shared" si="448"/>
        <v>X</v>
      </c>
      <c r="P542" s="176">
        <f t="shared" si="463"/>
        <v>14.91</v>
      </c>
      <c r="Q542" s="178" t="s">
        <v>0</v>
      </c>
      <c r="R542" s="176"/>
      <c r="S542" s="178" t="s">
        <v>2578</v>
      </c>
      <c r="T542" s="178" t="str">
        <f t="shared" si="449"/>
        <v>X</v>
      </c>
      <c r="U542" s="176">
        <f t="shared" si="460"/>
        <v>6.389999999999997</v>
      </c>
      <c r="V542" s="178" t="str">
        <f t="shared" si="450"/>
        <v xml:space="preserve"> </v>
      </c>
      <c r="W542" s="176">
        <f t="shared" si="461"/>
        <v>0</v>
      </c>
      <c r="X542" s="178" t="str">
        <f t="shared" si="451"/>
        <v xml:space="preserve"> </v>
      </c>
      <c r="Y542" s="176">
        <f t="shared" si="462"/>
        <v>0</v>
      </c>
      <c r="Z542" s="178" t="s">
        <v>2581</v>
      </c>
      <c r="AA542" s="178" t="str">
        <f t="shared" si="452"/>
        <v>X</v>
      </c>
      <c r="AB542" s="176">
        <f t="shared" si="453"/>
        <v>3.14</v>
      </c>
      <c r="AC542" s="178" t="str">
        <f t="shared" si="454"/>
        <v xml:space="preserve"> </v>
      </c>
      <c r="AD542" s="176">
        <f t="shared" si="455"/>
        <v>0</v>
      </c>
      <c r="AE542" s="178" t="str">
        <f t="shared" si="456"/>
        <v xml:space="preserve"> </v>
      </c>
      <c r="AF542" s="176">
        <f t="shared" si="457"/>
        <v>0</v>
      </c>
      <c r="AG542" s="178" t="str">
        <f t="shared" si="458"/>
        <v/>
      </c>
      <c r="AH542" s="176">
        <f t="shared" si="459"/>
        <v>0</v>
      </c>
    </row>
    <row r="543" spans="2:34" ht="16.5" outlineLevel="1" x14ac:dyDescent="0.25">
      <c r="B543" s="175" t="s">
        <v>2655</v>
      </c>
      <c r="C543" s="176">
        <v>6.48</v>
      </c>
      <c r="D543" s="176">
        <v>10.34</v>
      </c>
      <c r="E543" s="194">
        <v>3</v>
      </c>
      <c r="F543" s="194">
        <v>0</v>
      </c>
      <c r="G543" s="194">
        <f t="shared" si="441"/>
        <v>3</v>
      </c>
      <c r="H543" s="176"/>
      <c r="I543" s="178" t="str">
        <f t="shared" si="442"/>
        <v>X</v>
      </c>
      <c r="J543" s="176">
        <f t="shared" si="443"/>
        <v>31.02</v>
      </c>
      <c r="K543" s="178" t="str">
        <f t="shared" si="444"/>
        <v xml:space="preserve"> </v>
      </c>
      <c r="L543" s="176">
        <f t="shared" si="445"/>
        <v>0</v>
      </c>
      <c r="M543" s="178" t="str">
        <f t="shared" si="446"/>
        <v>X</v>
      </c>
      <c r="N543" s="177">
        <f t="shared" si="447"/>
        <v>31.02</v>
      </c>
      <c r="O543" s="178" t="str">
        <f t="shared" si="448"/>
        <v xml:space="preserve"> </v>
      </c>
      <c r="P543" s="176">
        <f t="shared" si="463"/>
        <v>0</v>
      </c>
      <c r="Q543" s="178" t="s">
        <v>0</v>
      </c>
      <c r="R543" s="176"/>
      <c r="S543" s="178" t="s">
        <v>2578</v>
      </c>
      <c r="T543" s="178" t="str">
        <f t="shared" si="449"/>
        <v>X</v>
      </c>
      <c r="U543" s="176">
        <f t="shared" si="460"/>
        <v>31.02</v>
      </c>
      <c r="V543" s="178" t="str">
        <f t="shared" si="450"/>
        <v xml:space="preserve"> </v>
      </c>
      <c r="W543" s="176">
        <f t="shared" si="461"/>
        <v>0</v>
      </c>
      <c r="X543" s="178" t="str">
        <f t="shared" si="451"/>
        <v xml:space="preserve"> </v>
      </c>
      <c r="Y543" s="176">
        <f t="shared" si="462"/>
        <v>0</v>
      </c>
      <c r="Z543" s="178" t="s">
        <v>2581</v>
      </c>
      <c r="AA543" s="178" t="str">
        <f t="shared" si="452"/>
        <v>X</v>
      </c>
      <c r="AB543" s="176">
        <f t="shared" si="453"/>
        <v>6.48</v>
      </c>
      <c r="AC543" s="178" t="str">
        <f t="shared" si="454"/>
        <v xml:space="preserve"> </v>
      </c>
      <c r="AD543" s="176">
        <f t="shared" si="455"/>
        <v>0</v>
      </c>
      <c r="AE543" s="178" t="str">
        <f t="shared" si="456"/>
        <v xml:space="preserve"> </v>
      </c>
      <c r="AF543" s="176">
        <f t="shared" si="457"/>
        <v>0</v>
      </c>
      <c r="AG543" s="178" t="str">
        <f t="shared" si="458"/>
        <v>X</v>
      </c>
      <c r="AH543" s="176">
        <f t="shared" si="459"/>
        <v>10.34</v>
      </c>
    </row>
    <row r="544" spans="2:34" ht="16.5" outlineLevel="1" x14ac:dyDescent="0.25">
      <c r="B544" s="175" t="s">
        <v>2822</v>
      </c>
      <c r="C544" s="176">
        <v>7.16</v>
      </c>
      <c r="D544" s="176">
        <v>10.83</v>
      </c>
      <c r="E544" s="194">
        <v>3</v>
      </c>
      <c r="F544" s="194">
        <v>0</v>
      </c>
      <c r="G544" s="194">
        <f t="shared" si="441"/>
        <v>3</v>
      </c>
      <c r="H544" s="176"/>
      <c r="I544" s="178" t="str">
        <f t="shared" si="442"/>
        <v>X</v>
      </c>
      <c r="J544" s="176">
        <f t="shared" si="443"/>
        <v>32.49</v>
      </c>
      <c r="K544" s="178" t="str">
        <f t="shared" si="444"/>
        <v xml:space="preserve"> </v>
      </c>
      <c r="L544" s="176">
        <f t="shared" si="445"/>
        <v>0</v>
      </c>
      <c r="M544" s="178" t="str">
        <f t="shared" si="446"/>
        <v>X</v>
      </c>
      <c r="N544" s="177">
        <f t="shared" si="447"/>
        <v>32.49</v>
      </c>
      <c r="O544" s="178" t="str">
        <f t="shared" si="448"/>
        <v xml:space="preserve"> </v>
      </c>
      <c r="P544" s="176">
        <f t="shared" si="463"/>
        <v>0</v>
      </c>
      <c r="Q544" s="178" t="s">
        <v>0</v>
      </c>
      <c r="R544" s="176"/>
      <c r="S544" s="178" t="s">
        <v>2578</v>
      </c>
      <c r="T544" s="178" t="str">
        <f t="shared" si="449"/>
        <v>X</v>
      </c>
      <c r="U544" s="176">
        <f t="shared" si="460"/>
        <v>32.49</v>
      </c>
      <c r="V544" s="178" t="str">
        <f t="shared" si="450"/>
        <v xml:space="preserve"> </v>
      </c>
      <c r="W544" s="176">
        <f t="shared" si="461"/>
        <v>0</v>
      </c>
      <c r="X544" s="178" t="str">
        <f t="shared" si="451"/>
        <v xml:space="preserve"> </v>
      </c>
      <c r="Y544" s="176">
        <f t="shared" si="462"/>
        <v>0</v>
      </c>
      <c r="Z544" s="178" t="s">
        <v>2581</v>
      </c>
      <c r="AA544" s="178" t="str">
        <f t="shared" si="452"/>
        <v>X</v>
      </c>
      <c r="AB544" s="176">
        <f t="shared" si="453"/>
        <v>7.16</v>
      </c>
      <c r="AC544" s="178" t="str">
        <f t="shared" si="454"/>
        <v xml:space="preserve"> </v>
      </c>
      <c r="AD544" s="176">
        <f t="shared" si="455"/>
        <v>0</v>
      </c>
      <c r="AE544" s="178" t="str">
        <f t="shared" si="456"/>
        <v xml:space="preserve"> </v>
      </c>
      <c r="AF544" s="176">
        <f t="shared" si="457"/>
        <v>0</v>
      </c>
      <c r="AG544" s="178" t="str">
        <f t="shared" si="458"/>
        <v>X</v>
      </c>
      <c r="AH544" s="176">
        <f t="shared" si="459"/>
        <v>10.83</v>
      </c>
    </row>
    <row r="545" spans="2:34" ht="16.5" outlineLevel="1" x14ac:dyDescent="0.25">
      <c r="B545" s="175" t="s">
        <v>2823</v>
      </c>
      <c r="C545" s="176">
        <v>9.93</v>
      </c>
      <c r="D545" s="176">
        <v>13.44</v>
      </c>
      <c r="E545" s="194">
        <v>3</v>
      </c>
      <c r="F545" s="194">
        <v>2.1</v>
      </c>
      <c r="G545" s="194">
        <f t="shared" si="441"/>
        <v>0.89999999999999991</v>
      </c>
      <c r="H545" s="176"/>
      <c r="I545" s="178" t="str">
        <f t="shared" si="442"/>
        <v>X</v>
      </c>
      <c r="J545" s="176">
        <f t="shared" si="443"/>
        <v>40.32</v>
      </c>
      <c r="K545" s="178" t="str">
        <f t="shared" si="444"/>
        <v>X</v>
      </c>
      <c r="L545" s="176">
        <f t="shared" si="445"/>
        <v>28.224</v>
      </c>
      <c r="M545" s="178" t="str">
        <f t="shared" si="446"/>
        <v>X</v>
      </c>
      <c r="N545" s="177">
        <f t="shared" si="447"/>
        <v>12.096</v>
      </c>
      <c r="O545" s="178" t="str">
        <f t="shared" si="448"/>
        <v>X</v>
      </c>
      <c r="P545" s="176">
        <f t="shared" si="463"/>
        <v>28.224</v>
      </c>
      <c r="Q545" s="178" t="s">
        <v>0</v>
      </c>
      <c r="R545" s="176"/>
      <c r="S545" s="178" t="s">
        <v>2578</v>
      </c>
      <c r="T545" s="178" t="str">
        <f t="shared" si="449"/>
        <v>X</v>
      </c>
      <c r="U545" s="176">
        <f t="shared" si="460"/>
        <v>12.096</v>
      </c>
      <c r="V545" s="178" t="str">
        <f t="shared" si="450"/>
        <v xml:space="preserve"> </v>
      </c>
      <c r="W545" s="176">
        <f t="shared" si="461"/>
        <v>0</v>
      </c>
      <c r="X545" s="178" t="str">
        <f t="shared" si="451"/>
        <v xml:space="preserve"> </v>
      </c>
      <c r="Y545" s="176">
        <f t="shared" si="462"/>
        <v>0</v>
      </c>
      <c r="Z545" s="178" t="s">
        <v>2581</v>
      </c>
      <c r="AA545" s="178" t="str">
        <f t="shared" si="452"/>
        <v>X</v>
      </c>
      <c r="AB545" s="176">
        <f t="shared" si="453"/>
        <v>9.93</v>
      </c>
      <c r="AC545" s="178" t="str">
        <f t="shared" si="454"/>
        <v xml:space="preserve"> </v>
      </c>
      <c r="AD545" s="176">
        <f t="shared" si="455"/>
        <v>0</v>
      </c>
      <c r="AE545" s="178" t="str">
        <f t="shared" si="456"/>
        <v xml:space="preserve"> </v>
      </c>
      <c r="AF545" s="176">
        <f t="shared" si="457"/>
        <v>0</v>
      </c>
      <c r="AG545" s="178" t="str">
        <f t="shared" si="458"/>
        <v/>
      </c>
      <c r="AH545" s="176">
        <f t="shared" si="459"/>
        <v>0</v>
      </c>
    </row>
    <row r="546" spans="2:34" ht="16.5" outlineLevel="1" x14ac:dyDescent="0.25">
      <c r="B546" s="175" t="s">
        <v>2678</v>
      </c>
      <c r="C546" s="176">
        <v>5.69</v>
      </c>
      <c r="D546" s="176">
        <v>10.58</v>
      </c>
      <c r="E546" s="194">
        <v>3</v>
      </c>
      <c r="F546" s="194">
        <v>2.1</v>
      </c>
      <c r="G546" s="194">
        <f t="shared" si="441"/>
        <v>0.89999999999999991</v>
      </c>
      <c r="H546" s="176"/>
      <c r="I546" s="178" t="str">
        <f t="shared" si="442"/>
        <v>X</v>
      </c>
      <c r="J546" s="176">
        <f t="shared" si="443"/>
        <v>31.740000000000002</v>
      </c>
      <c r="K546" s="178" t="str">
        <f t="shared" si="444"/>
        <v>X</v>
      </c>
      <c r="L546" s="176">
        <f t="shared" si="445"/>
        <v>22.218</v>
      </c>
      <c r="M546" s="178" t="str">
        <f t="shared" si="446"/>
        <v>X</v>
      </c>
      <c r="N546" s="177">
        <f t="shared" si="447"/>
        <v>9.522000000000002</v>
      </c>
      <c r="O546" s="178" t="str">
        <f t="shared" si="448"/>
        <v>X</v>
      </c>
      <c r="P546" s="176">
        <f t="shared" si="463"/>
        <v>22.218</v>
      </c>
      <c r="Q546" s="178" t="s">
        <v>0</v>
      </c>
      <c r="R546" s="176"/>
      <c r="S546" s="178" t="s">
        <v>2578</v>
      </c>
      <c r="T546" s="178" t="str">
        <f t="shared" si="449"/>
        <v>X</v>
      </c>
      <c r="U546" s="176">
        <f t="shared" si="460"/>
        <v>9.522000000000002</v>
      </c>
      <c r="V546" s="178" t="str">
        <f t="shared" si="450"/>
        <v xml:space="preserve"> </v>
      </c>
      <c r="W546" s="176">
        <f t="shared" si="461"/>
        <v>0</v>
      </c>
      <c r="X546" s="178" t="str">
        <f t="shared" si="451"/>
        <v xml:space="preserve"> </v>
      </c>
      <c r="Y546" s="176">
        <f t="shared" si="462"/>
        <v>0</v>
      </c>
      <c r="Z546" s="178" t="s">
        <v>2581</v>
      </c>
      <c r="AA546" s="178" t="str">
        <f t="shared" si="452"/>
        <v>X</v>
      </c>
      <c r="AB546" s="176">
        <f t="shared" si="453"/>
        <v>5.69</v>
      </c>
      <c r="AC546" s="178" t="str">
        <f t="shared" si="454"/>
        <v xml:space="preserve"> </v>
      </c>
      <c r="AD546" s="176">
        <f t="shared" si="455"/>
        <v>0</v>
      </c>
      <c r="AE546" s="178" t="str">
        <f t="shared" si="456"/>
        <v xml:space="preserve"> </v>
      </c>
      <c r="AF546" s="176">
        <f t="shared" si="457"/>
        <v>0</v>
      </c>
      <c r="AG546" s="178" t="str">
        <f t="shared" si="458"/>
        <v/>
      </c>
      <c r="AH546" s="176">
        <f t="shared" si="459"/>
        <v>0</v>
      </c>
    </row>
    <row r="547" spans="2:34" ht="16.5" outlineLevel="1" x14ac:dyDescent="0.25">
      <c r="B547" s="175" t="s">
        <v>2667</v>
      </c>
      <c r="C547" s="176">
        <v>25.26</v>
      </c>
      <c r="D547" s="176">
        <v>21.06</v>
      </c>
      <c r="E547" s="194">
        <v>3</v>
      </c>
      <c r="F547" s="194">
        <v>0</v>
      </c>
      <c r="G547" s="194">
        <f t="shared" si="441"/>
        <v>3</v>
      </c>
      <c r="H547" s="176"/>
      <c r="I547" s="178" t="str">
        <f t="shared" si="442"/>
        <v>X</v>
      </c>
      <c r="J547" s="176">
        <f t="shared" si="443"/>
        <v>63.179999999999993</v>
      </c>
      <c r="K547" s="178" t="str">
        <f t="shared" si="444"/>
        <v xml:space="preserve"> </v>
      </c>
      <c r="L547" s="176">
        <f t="shared" si="445"/>
        <v>0</v>
      </c>
      <c r="M547" s="178" t="str">
        <f t="shared" si="446"/>
        <v>X</v>
      </c>
      <c r="N547" s="177">
        <f t="shared" si="447"/>
        <v>63.179999999999993</v>
      </c>
      <c r="O547" s="178" t="str">
        <f t="shared" si="448"/>
        <v xml:space="preserve"> </v>
      </c>
      <c r="P547" s="176">
        <v>1</v>
      </c>
      <c r="Q547" s="178" t="s">
        <v>0</v>
      </c>
      <c r="R547" s="176"/>
      <c r="S547" s="178" t="s">
        <v>2578</v>
      </c>
      <c r="T547" s="178" t="str">
        <f t="shared" si="449"/>
        <v>X</v>
      </c>
      <c r="U547" s="176">
        <f t="shared" si="460"/>
        <v>63.179999999999993</v>
      </c>
      <c r="V547" s="178" t="str">
        <f t="shared" si="450"/>
        <v xml:space="preserve"> </v>
      </c>
      <c r="W547" s="176">
        <f t="shared" si="461"/>
        <v>0</v>
      </c>
      <c r="X547" s="178" t="str">
        <f t="shared" si="451"/>
        <v xml:space="preserve"> </v>
      </c>
      <c r="Y547" s="176">
        <f t="shared" si="462"/>
        <v>0</v>
      </c>
      <c r="Z547" s="178" t="s">
        <v>2581</v>
      </c>
      <c r="AA547" s="178" t="str">
        <f t="shared" si="452"/>
        <v>X</v>
      </c>
      <c r="AB547" s="176">
        <f t="shared" si="453"/>
        <v>25.26</v>
      </c>
      <c r="AC547" s="178" t="str">
        <f t="shared" si="454"/>
        <v xml:space="preserve"> </v>
      </c>
      <c r="AD547" s="176">
        <f t="shared" si="455"/>
        <v>0</v>
      </c>
      <c r="AE547" s="178" t="str">
        <f t="shared" si="456"/>
        <v xml:space="preserve"> </v>
      </c>
      <c r="AF547" s="176">
        <f t="shared" si="457"/>
        <v>0</v>
      </c>
      <c r="AG547" s="178" t="str">
        <f t="shared" si="458"/>
        <v>X</v>
      </c>
      <c r="AH547" s="176">
        <f t="shared" si="459"/>
        <v>21.06</v>
      </c>
    </row>
    <row r="548" spans="2:34" ht="16.5" outlineLevel="1" x14ac:dyDescent="0.25">
      <c r="B548" s="175" t="s">
        <v>2668</v>
      </c>
      <c r="C548" s="176">
        <v>5.19</v>
      </c>
      <c r="D548" s="176">
        <v>10</v>
      </c>
      <c r="E548" s="194">
        <v>3</v>
      </c>
      <c r="F548" s="194">
        <v>2.1</v>
      </c>
      <c r="G548" s="194">
        <f t="shared" si="441"/>
        <v>0.89999999999999991</v>
      </c>
      <c r="H548" s="176"/>
      <c r="I548" s="178" t="str">
        <f t="shared" si="442"/>
        <v>X</v>
      </c>
      <c r="J548" s="176">
        <f t="shared" si="443"/>
        <v>30</v>
      </c>
      <c r="K548" s="178" t="str">
        <f t="shared" si="444"/>
        <v>X</v>
      </c>
      <c r="L548" s="176">
        <f t="shared" si="445"/>
        <v>21</v>
      </c>
      <c r="M548" s="178" t="str">
        <f t="shared" si="446"/>
        <v>X</v>
      </c>
      <c r="N548" s="177">
        <f t="shared" si="447"/>
        <v>9</v>
      </c>
      <c r="O548" s="178" t="str">
        <f t="shared" si="448"/>
        <v>X</v>
      </c>
      <c r="P548" s="176">
        <f>IF(L548&gt;0,L548,0)</f>
        <v>21</v>
      </c>
      <c r="Q548" s="178" t="s">
        <v>0</v>
      </c>
      <c r="R548" s="176"/>
      <c r="S548" s="178" t="s">
        <v>2578</v>
      </c>
      <c r="T548" s="178" t="str">
        <f t="shared" si="449"/>
        <v>X</v>
      </c>
      <c r="U548" s="176">
        <f t="shared" si="460"/>
        <v>9</v>
      </c>
      <c r="V548" s="178" t="str">
        <f t="shared" si="450"/>
        <v xml:space="preserve"> </v>
      </c>
      <c r="W548" s="176">
        <f t="shared" si="461"/>
        <v>0</v>
      </c>
      <c r="X548" s="178" t="str">
        <f t="shared" si="451"/>
        <v xml:space="preserve"> </v>
      </c>
      <c r="Y548" s="176">
        <f t="shared" si="462"/>
        <v>0</v>
      </c>
      <c r="Z548" s="178" t="s">
        <v>2581</v>
      </c>
      <c r="AA548" s="178" t="str">
        <f t="shared" si="452"/>
        <v>X</v>
      </c>
      <c r="AB548" s="176">
        <f t="shared" si="453"/>
        <v>5.19</v>
      </c>
      <c r="AC548" s="178" t="str">
        <f t="shared" si="454"/>
        <v xml:space="preserve"> </v>
      </c>
      <c r="AD548" s="176">
        <f t="shared" si="455"/>
        <v>0</v>
      </c>
      <c r="AE548" s="178" t="str">
        <f t="shared" si="456"/>
        <v xml:space="preserve"> </v>
      </c>
      <c r="AF548" s="176">
        <f t="shared" si="457"/>
        <v>0</v>
      </c>
      <c r="AG548" s="178" t="str">
        <f t="shared" si="458"/>
        <v/>
      </c>
      <c r="AH548" s="176">
        <f t="shared" si="459"/>
        <v>0</v>
      </c>
    </row>
    <row r="549" spans="2:34" ht="16.5" outlineLevel="1" x14ac:dyDescent="0.25">
      <c r="B549" s="175" t="s">
        <v>2673</v>
      </c>
      <c r="C549" s="176">
        <v>25.3</v>
      </c>
      <c r="D549" s="176">
        <v>21.08</v>
      </c>
      <c r="E549" s="194">
        <v>3</v>
      </c>
      <c r="F549" s="194">
        <v>0</v>
      </c>
      <c r="G549" s="194">
        <f t="shared" si="441"/>
        <v>3</v>
      </c>
      <c r="H549" s="176"/>
      <c r="I549" s="178" t="str">
        <f t="shared" si="442"/>
        <v>X</v>
      </c>
      <c r="J549" s="176">
        <f t="shared" si="443"/>
        <v>63.239999999999995</v>
      </c>
      <c r="K549" s="178" t="str">
        <f t="shared" si="444"/>
        <v xml:space="preserve"> </v>
      </c>
      <c r="L549" s="176">
        <f t="shared" si="445"/>
        <v>0</v>
      </c>
      <c r="M549" s="178" t="str">
        <f t="shared" si="446"/>
        <v>X</v>
      </c>
      <c r="N549" s="177">
        <f t="shared" si="447"/>
        <v>63.239999999999995</v>
      </c>
      <c r="O549" s="178" t="str">
        <f t="shared" si="448"/>
        <v xml:space="preserve"> </v>
      </c>
      <c r="P549" s="176">
        <v>1</v>
      </c>
      <c r="Q549" s="178" t="s">
        <v>0</v>
      </c>
      <c r="R549" s="176"/>
      <c r="S549" s="178" t="s">
        <v>2578</v>
      </c>
      <c r="T549" s="178" t="str">
        <f t="shared" si="449"/>
        <v>X</v>
      </c>
      <c r="U549" s="176">
        <f t="shared" si="460"/>
        <v>63.239999999999995</v>
      </c>
      <c r="V549" s="178" t="str">
        <f t="shared" si="450"/>
        <v xml:space="preserve"> </v>
      </c>
      <c r="W549" s="176">
        <f t="shared" si="461"/>
        <v>0</v>
      </c>
      <c r="X549" s="178" t="str">
        <f t="shared" si="451"/>
        <v xml:space="preserve"> </v>
      </c>
      <c r="Y549" s="176">
        <f t="shared" si="462"/>
        <v>0</v>
      </c>
      <c r="Z549" s="178" t="s">
        <v>2581</v>
      </c>
      <c r="AA549" s="178" t="str">
        <f t="shared" si="452"/>
        <v>X</v>
      </c>
      <c r="AB549" s="176">
        <f t="shared" si="453"/>
        <v>25.3</v>
      </c>
      <c r="AC549" s="178" t="str">
        <f t="shared" si="454"/>
        <v xml:space="preserve"> </v>
      </c>
      <c r="AD549" s="176">
        <f t="shared" si="455"/>
        <v>0</v>
      </c>
      <c r="AE549" s="178" t="str">
        <f t="shared" si="456"/>
        <v xml:space="preserve"> </v>
      </c>
      <c r="AF549" s="176">
        <f t="shared" si="457"/>
        <v>0</v>
      </c>
      <c r="AG549" s="178" t="str">
        <f t="shared" si="458"/>
        <v>X</v>
      </c>
      <c r="AH549" s="176">
        <f t="shared" si="459"/>
        <v>21.08</v>
      </c>
    </row>
    <row r="550" spans="2:34" ht="16.5" outlineLevel="1" x14ac:dyDescent="0.25">
      <c r="B550" s="175" t="s">
        <v>2674</v>
      </c>
      <c r="C550" s="176">
        <v>5.19</v>
      </c>
      <c r="D550" s="176">
        <v>10</v>
      </c>
      <c r="E550" s="194">
        <v>3</v>
      </c>
      <c r="F550" s="194">
        <v>2.1</v>
      </c>
      <c r="G550" s="194">
        <f t="shared" si="441"/>
        <v>0.89999999999999991</v>
      </c>
      <c r="H550" s="176"/>
      <c r="I550" s="178" t="str">
        <f t="shared" si="442"/>
        <v>X</v>
      </c>
      <c r="J550" s="176">
        <f t="shared" si="443"/>
        <v>30</v>
      </c>
      <c r="K550" s="178" t="str">
        <f t="shared" si="444"/>
        <v>X</v>
      </c>
      <c r="L550" s="176">
        <f t="shared" si="445"/>
        <v>21</v>
      </c>
      <c r="M550" s="178" t="str">
        <f t="shared" si="446"/>
        <v>X</v>
      </c>
      <c r="N550" s="177">
        <f t="shared" si="447"/>
        <v>9</v>
      </c>
      <c r="O550" s="178" t="str">
        <f t="shared" si="448"/>
        <v>X</v>
      </c>
      <c r="P550" s="176">
        <f>IF(L550&gt;0,L550,0)</f>
        <v>21</v>
      </c>
      <c r="Q550" s="178" t="s">
        <v>0</v>
      </c>
      <c r="R550" s="176"/>
      <c r="S550" s="178" t="s">
        <v>2578</v>
      </c>
      <c r="T550" s="178" t="str">
        <f t="shared" si="449"/>
        <v>X</v>
      </c>
      <c r="U550" s="176">
        <f t="shared" si="460"/>
        <v>9</v>
      </c>
      <c r="V550" s="178" t="str">
        <f t="shared" si="450"/>
        <v xml:space="preserve"> </v>
      </c>
      <c r="W550" s="176">
        <f t="shared" si="461"/>
        <v>0</v>
      </c>
      <c r="X550" s="178" t="str">
        <f t="shared" si="451"/>
        <v xml:space="preserve"> </v>
      </c>
      <c r="Y550" s="176">
        <f t="shared" si="462"/>
        <v>0</v>
      </c>
      <c r="Z550" s="178" t="s">
        <v>2581</v>
      </c>
      <c r="AA550" s="178" t="str">
        <f t="shared" si="452"/>
        <v>X</v>
      </c>
      <c r="AB550" s="176">
        <f t="shared" si="453"/>
        <v>5.19</v>
      </c>
      <c r="AC550" s="178" t="str">
        <f t="shared" si="454"/>
        <v xml:space="preserve"> </v>
      </c>
      <c r="AD550" s="176">
        <f t="shared" si="455"/>
        <v>0</v>
      </c>
      <c r="AE550" s="178" t="str">
        <f t="shared" si="456"/>
        <v xml:space="preserve"> </v>
      </c>
      <c r="AF550" s="176">
        <f t="shared" si="457"/>
        <v>0</v>
      </c>
      <c r="AG550" s="178" t="str">
        <f t="shared" si="458"/>
        <v/>
      </c>
      <c r="AH550" s="176">
        <f t="shared" si="459"/>
        <v>0</v>
      </c>
    </row>
    <row r="551" spans="2:34" ht="16.5" outlineLevel="1" x14ac:dyDescent="0.25">
      <c r="B551" s="175" t="s">
        <v>2594</v>
      </c>
      <c r="C551" s="176">
        <v>29.17</v>
      </c>
      <c r="D551" s="176">
        <v>30.67</v>
      </c>
      <c r="E551" s="194">
        <v>3</v>
      </c>
      <c r="F551" s="194">
        <v>0</v>
      </c>
      <c r="G551" s="194">
        <f t="shared" si="441"/>
        <v>3</v>
      </c>
      <c r="H551" s="176"/>
      <c r="I551" s="178" t="str">
        <f t="shared" si="442"/>
        <v>X</v>
      </c>
      <c r="J551" s="176">
        <f t="shared" si="443"/>
        <v>92.01</v>
      </c>
      <c r="K551" s="178" t="str">
        <f t="shared" si="444"/>
        <v xml:space="preserve"> </v>
      </c>
      <c r="L551" s="176">
        <f t="shared" si="445"/>
        <v>0</v>
      </c>
      <c r="M551" s="178" t="str">
        <f t="shared" si="446"/>
        <v>X</v>
      </c>
      <c r="N551" s="177">
        <f t="shared" si="447"/>
        <v>92.01</v>
      </c>
      <c r="O551" s="178" t="str">
        <f t="shared" si="448"/>
        <v xml:space="preserve"> </v>
      </c>
      <c r="P551" s="176">
        <f>IF(L551&gt;0,L551,0)</f>
        <v>0</v>
      </c>
      <c r="Q551" s="178" t="s">
        <v>0</v>
      </c>
      <c r="R551" s="176"/>
      <c r="S551" s="178" t="s">
        <v>2578</v>
      </c>
      <c r="T551" s="178" t="str">
        <f t="shared" si="449"/>
        <v>X</v>
      </c>
      <c r="U551" s="176">
        <f t="shared" si="460"/>
        <v>92.01</v>
      </c>
      <c r="V551" s="178" t="str">
        <f t="shared" si="450"/>
        <v xml:space="preserve"> </v>
      </c>
      <c r="W551" s="176">
        <f t="shared" si="461"/>
        <v>0</v>
      </c>
      <c r="X551" s="178" t="str">
        <f t="shared" si="451"/>
        <v xml:space="preserve"> </v>
      </c>
      <c r="Y551" s="176">
        <f t="shared" si="462"/>
        <v>0</v>
      </c>
      <c r="Z551" s="178" t="s">
        <v>2582</v>
      </c>
      <c r="AA551" s="178" t="str">
        <f t="shared" si="452"/>
        <v xml:space="preserve"> </v>
      </c>
      <c r="AB551" s="176">
        <f t="shared" si="453"/>
        <v>0</v>
      </c>
      <c r="AC551" s="178" t="str">
        <f t="shared" si="454"/>
        <v>X</v>
      </c>
      <c r="AD551" s="176">
        <f t="shared" si="455"/>
        <v>29.17</v>
      </c>
      <c r="AE551" s="178" t="str">
        <f t="shared" si="456"/>
        <v xml:space="preserve"> </v>
      </c>
      <c r="AF551" s="176">
        <f t="shared" si="457"/>
        <v>0</v>
      </c>
      <c r="AG551" s="178" t="str">
        <f t="shared" si="458"/>
        <v>X</v>
      </c>
      <c r="AH551" s="176">
        <f t="shared" si="459"/>
        <v>30.67</v>
      </c>
    </row>
    <row r="552" spans="2:34" ht="16.5" outlineLevel="1" x14ac:dyDescent="0.25">
      <c r="B552" s="175" t="s">
        <v>2824</v>
      </c>
      <c r="C552" s="176">
        <v>12.77</v>
      </c>
      <c r="D552" s="176">
        <v>14.38</v>
      </c>
      <c r="E552" s="194">
        <v>3</v>
      </c>
      <c r="F552" s="194">
        <v>0</v>
      </c>
      <c r="G552" s="194">
        <f t="shared" si="441"/>
        <v>3</v>
      </c>
      <c r="H552" s="176"/>
      <c r="I552" s="178" t="str">
        <f t="shared" si="442"/>
        <v>X</v>
      </c>
      <c r="J552" s="176">
        <f t="shared" si="443"/>
        <v>43.14</v>
      </c>
      <c r="K552" s="178" t="str">
        <f t="shared" si="444"/>
        <v xml:space="preserve"> </v>
      </c>
      <c r="L552" s="176">
        <f t="shared" si="445"/>
        <v>0</v>
      </c>
      <c r="M552" s="178" t="str">
        <f t="shared" si="446"/>
        <v>X</v>
      </c>
      <c r="N552" s="177">
        <f t="shared" si="447"/>
        <v>43.14</v>
      </c>
      <c r="O552" s="178" t="str">
        <f t="shared" si="448"/>
        <v xml:space="preserve"> </v>
      </c>
      <c r="P552" s="176">
        <f>IF(L552&gt;0,L552,0)</f>
        <v>0</v>
      </c>
      <c r="Q552" s="178" t="s">
        <v>0</v>
      </c>
      <c r="R552" s="176"/>
      <c r="S552" s="178" t="s">
        <v>2578</v>
      </c>
      <c r="T552" s="178" t="str">
        <f t="shared" si="449"/>
        <v>X</v>
      </c>
      <c r="U552" s="176">
        <f t="shared" si="460"/>
        <v>43.14</v>
      </c>
      <c r="V552" s="178" t="str">
        <f t="shared" si="450"/>
        <v xml:space="preserve"> </v>
      </c>
      <c r="W552" s="176">
        <f t="shared" si="461"/>
        <v>0</v>
      </c>
      <c r="X552" s="178" t="str">
        <f t="shared" si="451"/>
        <v xml:space="preserve"> </v>
      </c>
      <c r="Y552" s="176">
        <f t="shared" si="462"/>
        <v>0</v>
      </c>
      <c r="Z552" s="178" t="s">
        <v>2581</v>
      </c>
      <c r="AA552" s="178" t="str">
        <f t="shared" si="452"/>
        <v>X</v>
      </c>
      <c r="AB552" s="176">
        <f t="shared" si="453"/>
        <v>12.77</v>
      </c>
      <c r="AC552" s="178" t="str">
        <f t="shared" si="454"/>
        <v xml:space="preserve"> </v>
      </c>
      <c r="AD552" s="176">
        <f t="shared" si="455"/>
        <v>0</v>
      </c>
      <c r="AE552" s="178" t="str">
        <f t="shared" si="456"/>
        <v xml:space="preserve"> </v>
      </c>
      <c r="AF552" s="176">
        <f t="shared" si="457"/>
        <v>0</v>
      </c>
      <c r="AG552" s="178" t="str">
        <f t="shared" si="458"/>
        <v>X</v>
      </c>
      <c r="AH552" s="176">
        <f t="shared" si="459"/>
        <v>14.38</v>
      </c>
    </row>
    <row r="553" spans="2:34" ht="16.5" x14ac:dyDescent="0.25">
      <c r="B553" s="182"/>
      <c r="C553" s="185"/>
      <c r="D553" s="185"/>
      <c r="E553" s="185"/>
      <c r="F553" s="185"/>
      <c r="G553" s="185"/>
      <c r="H553" s="185"/>
      <c r="I553" s="184"/>
      <c r="J553" s="185"/>
      <c r="K553" s="184"/>
      <c r="L553" s="185"/>
      <c r="M553" s="184"/>
      <c r="N553" s="185"/>
      <c r="O553" s="201"/>
      <c r="P553" s="185"/>
      <c r="Q553" s="184"/>
      <c r="R553" s="189"/>
      <c r="S553" s="185"/>
      <c r="T553" s="184"/>
      <c r="U553" s="185"/>
      <c r="V553" s="184"/>
      <c r="W553" s="185"/>
      <c r="X553" s="184"/>
      <c r="Y553" s="189"/>
      <c r="Z553" s="185"/>
      <c r="AA553" s="184"/>
      <c r="AB553" s="185"/>
      <c r="AC553" s="184"/>
      <c r="AD553" s="185"/>
      <c r="AE553" s="184"/>
      <c r="AF553" s="189"/>
      <c r="AG553" s="184"/>
      <c r="AH553" s="189"/>
    </row>
    <row r="554" spans="2:34" ht="16.5" x14ac:dyDescent="0.25">
      <c r="B554" s="929" t="s">
        <v>2825</v>
      </c>
      <c r="C554" s="930"/>
      <c r="D554" s="930"/>
      <c r="E554" s="930"/>
      <c r="F554" s="930"/>
      <c r="G554" s="930"/>
      <c r="H554" s="931"/>
      <c r="I554" s="190" t="s">
        <v>2586</v>
      </c>
      <c r="J554" s="191">
        <f>SUBTOTAL(9,J555:J581)</f>
        <v>1566.69</v>
      </c>
      <c r="K554" s="192" t="s">
        <v>2586</v>
      </c>
      <c r="L554" s="191">
        <f>SUBTOTAL(9,L555:L581)</f>
        <v>208.74</v>
      </c>
      <c r="M554" s="190" t="s">
        <v>2586</v>
      </c>
      <c r="N554" s="200">
        <f>SUBTOTAL(9,N555:N581)</f>
        <v>1357.95</v>
      </c>
      <c r="O554" s="190" t="s">
        <v>2586</v>
      </c>
      <c r="P554" s="191">
        <f>SUBTOTAL(9,P555:P581)</f>
        <v>218.74</v>
      </c>
      <c r="Q554" s="190" t="s">
        <v>2586</v>
      </c>
      <c r="R554" s="191">
        <f>SUBTOTAL(9,R555:R581)</f>
        <v>0</v>
      </c>
      <c r="S554" s="191"/>
      <c r="T554" s="190" t="s">
        <v>2586</v>
      </c>
      <c r="U554" s="200">
        <f>SUBTOTAL(9,U555:U581)</f>
        <v>1295.5500000000002</v>
      </c>
      <c r="V554" s="190" t="s">
        <v>2586</v>
      </c>
      <c r="W554" s="191">
        <f>SUBTOTAL(9,W555:W581)</f>
        <v>0</v>
      </c>
      <c r="X554" s="190" t="s">
        <v>2586</v>
      </c>
      <c r="Y554" s="191">
        <f>SUBTOTAL(9,Y555:Y581)</f>
        <v>62.400000000000006</v>
      </c>
      <c r="Z554" s="191"/>
      <c r="AA554" s="190" t="s">
        <v>2586</v>
      </c>
      <c r="AB554" s="200">
        <f>SUBTOTAL(9,AB555:AB581)</f>
        <v>269.96999999999997</v>
      </c>
      <c r="AC554" s="190" t="s">
        <v>2586</v>
      </c>
      <c r="AD554" s="191">
        <f>SUBTOTAL(9,AD555:AD581)</f>
        <v>227.37</v>
      </c>
      <c r="AE554" s="190" t="s">
        <v>2586</v>
      </c>
      <c r="AF554" s="191">
        <f>SUBTOTAL(9,AF555:AF581)</f>
        <v>18.920000000000002</v>
      </c>
      <c r="AG554" s="190" t="s">
        <v>2586</v>
      </c>
      <c r="AH554" s="191">
        <f>SUBTOTAL(9,AH555:AH581)</f>
        <v>422.83000000000004</v>
      </c>
    </row>
    <row r="555" spans="2:34" ht="16.5" outlineLevel="1" x14ac:dyDescent="0.25">
      <c r="B555" s="175" t="s">
        <v>2670</v>
      </c>
      <c r="C555" s="176">
        <v>18.920000000000002</v>
      </c>
      <c r="D555" s="176">
        <v>20.8</v>
      </c>
      <c r="E555" s="194">
        <v>3</v>
      </c>
      <c r="F555" s="194">
        <v>0</v>
      </c>
      <c r="G555" s="194">
        <f t="shared" ref="G555:G581" si="464">E555-F555</f>
        <v>3</v>
      </c>
      <c r="H555" s="176"/>
      <c r="I555" s="178" t="str">
        <f t="shared" ref="I555:I581" si="465">IF($E555&gt;0,"X"," ")</f>
        <v>X</v>
      </c>
      <c r="J555" s="176">
        <f t="shared" ref="J555:J581" si="466">IF(I555="X",($D555-H555)*E555,0)</f>
        <v>62.400000000000006</v>
      </c>
      <c r="K555" s="178" t="str">
        <f t="shared" ref="K555:K581" si="467">IF($F555&gt;0,"X"," ")</f>
        <v xml:space="preserve"> </v>
      </c>
      <c r="L555" s="176">
        <f t="shared" ref="L555:L581" si="468">IF(K555="X",($D555-H555)*F555,0)</f>
        <v>0</v>
      </c>
      <c r="M555" s="178" t="str">
        <f t="shared" ref="M555:M581" si="469">IF($E555&gt;0,"X"," ")</f>
        <v>X</v>
      </c>
      <c r="N555" s="177">
        <f t="shared" ref="N555:N581" si="470">IF(M555="X",J555-L555,0)</f>
        <v>62.400000000000006</v>
      </c>
      <c r="O555" s="178" t="str">
        <f t="shared" ref="O555:O581" si="471">IF($F555&gt;0,"X"," ")</f>
        <v xml:space="preserve"> </v>
      </c>
      <c r="P555" s="176">
        <f>IF(L555&gt;0,L555,0)</f>
        <v>0</v>
      </c>
      <c r="Q555" s="178" t="s">
        <v>0</v>
      </c>
      <c r="R555" s="176"/>
      <c r="S555" s="178" t="s">
        <v>2580</v>
      </c>
      <c r="T555" s="178" t="str">
        <f t="shared" ref="T555:T581" si="472">IF($S555="ACRÍLICA","X"," ")</f>
        <v xml:space="preserve"> </v>
      </c>
      <c r="U555" s="176">
        <f>IF(T555="X",$N555,0)</f>
        <v>0</v>
      </c>
      <c r="V555" s="178" t="str">
        <f t="shared" ref="V555:V581" si="473">IF($S555="EPÓXI","X"," ")</f>
        <v xml:space="preserve"> </v>
      </c>
      <c r="W555" s="176">
        <f>IF(V555="X",$N555,0)</f>
        <v>0</v>
      </c>
      <c r="X555" s="178" t="str">
        <f t="shared" ref="X555:X581" si="474">IF($S555="TEXTURA","X"," ")</f>
        <v>X</v>
      </c>
      <c r="Y555" s="176">
        <f>IF(X555="X",$N555,0)</f>
        <v>62.400000000000006</v>
      </c>
      <c r="Z555" s="178" t="s">
        <v>2583</v>
      </c>
      <c r="AA555" s="178" t="str">
        <f t="shared" ref="AA555:AA581" si="475">IF($Z555="ACARTONADO","X"," ")</f>
        <v xml:space="preserve"> </v>
      </c>
      <c r="AB555" s="176">
        <f t="shared" ref="AB555:AB581" si="476">IF(AA555="X",$C555,0)</f>
        <v>0</v>
      </c>
      <c r="AC555" s="178" t="str">
        <f t="shared" ref="AC555:AC581" si="477">IF($Z555="MINERAL","X"," ")</f>
        <v xml:space="preserve"> </v>
      </c>
      <c r="AD555" s="176">
        <f t="shared" ref="AD555:AD581" si="478">IF(AC555="X",$C555,0)</f>
        <v>0</v>
      </c>
      <c r="AE555" s="178" t="str">
        <f t="shared" ref="AE555:AE581" si="479">IF($Z555="LAJE","X"," ")</f>
        <v>X</v>
      </c>
      <c r="AF555" s="176">
        <f t="shared" ref="AF555:AF581" si="480">IF(AE555="X",$C555,0)</f>
        <v>18.920000000000002</v>
      </c>
      <c r="AG555" s="178" t="str">
        <f t="shared" ref="AG555:AG581" si="481">IF(K555="X","","X")</f>
        <v>X</v>
      </c>
      <c r="AH555" s="176">
        <f t="shared" ref="AH555:AH581" si="482">IF(AG555="X",$D555-H555,0)</f>
        <v>20.8</v>
      </c>
    </row>
    <row r="556" spans="2:34" ht="16.5" outlineLevel="1" x14ac:dyDescent="0.25">
      <c r="B556" s="175" t="s">
        <v>2669</v>
      </c>
      <c r="C556" s="176">
        <v>6.74</v>
      </c>
      <c r="D556" s="176">
        <v>12.1</v>
      </c>
      <c r="E556" s="194">
        <v>3</v>
      </c>
      <c r="F556" s="194">
        <v>0</v>
      </c>
      <c r="G556" s="194">
        <f t="shared" si="464"/>
        <v>3</v>
      </c>
      <c r="H556" s="176"/>
      <c r="I556" s="178" t="str">
        <f t="shared" si="465"/>
        <v>X</v>
      </c>
      <c r="J556" s="176">
        <f t="shared" si="466"/>
        <v>36.299999999999997</v>
      </c>
      <c r="K556" s="178" t="str">
        <f t="shared" si="467"/>
        <v xml:space="preserve"> </v>
      </c>
      <c r="L556" s="176">
        <f t="shared" si="468"/>
        <v>0</v>
      </c>
      <c r="M556" s="178" t="str">
        <f t="shared" si="469"/>
        <v>X</v>
      </c>
      <c r="N556" s="177">
        <f t="shared" si="470"/>
        <v>36.299999999999997</v>
      </c>
      <c r="O556" s="178" t="str">
        <f t="shared" si="471"/>
        <v xml:space="preserve"> </v>
      </c>
      <c r="P556" s="176">
        <f>IF(L556&gt;0,L556,0)</f>
        <v>0</v>
      </c>
      <c r="Q556" s="178" t="s">
        <v>0</v>
      </c>
      <c r="R556" s="176"/>
      <c r="S556" s="178" t="s">
        <v>2578</v>
      </c>
      <c r="T556" s="178" t="str">
        <f t="shared" si="472"/>
        <v>X</v>
      </c>
      <c r="U556" s="176">
        <f t="shared" ref="U556:U581" si="483">IF(T556="X",$N556,0)</f>
        <v>36.299999999999997</v>
      </c>
      <c r="V556" s="178" t="str">
        <f t="shared" si="473"/>
        <v xml:space="preserve"> </v>
      </c>
      <c r="W556" s="176">
        <f t="shared" ref="W556:W581" si="484">IF(V556="X",$N556,0)</f>
        <v>0</v>
      </c>
      <c r="X556" s="178" t="str">
        <f t="shared" si="474"/>
        <v xml:space="preserve"> </v>
      </c>
      <c r="Y556" s="176">
        <f t="shared" ref="Y556:Y581" si="485">IF(X556="X",$N556,0)</f>
        <v>0</v>
      </c>
      <c r="Z556" s="178" t="s">
        <v>2581</v>
      </c>
      <c r="AA556" s="178" t="str">
        <f t="shared" si="475"/>
        <v>X</v>
      </c>
      <c r="AB556" s="176">
        <f t="shared" si="476"/>
        <v>6.74</v>
      </c>
      <c r="AC556" s="178" t="str">
        <f t="shared" si="477"/>
        <v xml:space="preserve"> </v>
      </c>
      <c r="AD556" s="176">
        <f t="shared" si="478"/>
        <v>0</v>
      </c>
      <c r="AE556" s="178" t="str">
        <f t="shared" si="479"/>
        <v xml:space="preserve"> </v>
      </c>
      <c r="AF556" s="176">
        <f t="shared" si="480"/>
        <v>0</v>
      </c>
      <c r="AG556" s="178" t="str">
        <f t="shared" si="481"/>
        <v>X</v>
      </c>
      <c r="AH556" s="176">
        <f t="shared" si="482"/>
        <v>12.1</v>
      </c>
    </row>
    <row r="557" spans="2:34" ht="16.5" outlineLevel="1" x14ac:dyDescent="0.25">
      <c r="B557" s="175" t="s">
        <v>2666</v>
      </c>
      <c r="C557" s="176">
        <v>4.53</v>
      </c>
      <c r="D557" s="176">
        <v>8.76</v>
      </c>
      <c r="E557" s="194">
        <v>3</v>
      </c>
      <c r="F557" s="194">
        <v>2.1</v>
      </c>
      <c r="G557" s="194">
        <f t="shared" si="464"/>
        <v>0.89999999999999991</v>
      </c>
      <c r="H557" s="176"/>
      <c r="I557" s="178" t="str">
        <f t="shared" si="465"/>
        <v>X</v>
      </c>
      <c r="J557" s="176">
        <f t="shared" si="466"/>
        <v>26.28</v>
      </c>
      <c r="K557" s="178" t="str">
        <f t="shared" si="467"/>
        <v>X</v>
      </c>
      <c r="L557" s="176">
        <f t="shared" si="468"/>
        <v>18.396000000000001</v>
      </c>
      <c r="M557" s="178" t="str">
        <f t="shared" si="469"/>
        <v>X</v>
      </c>
      <c r="N557" s="177">
        <f t="shared" si="470"/>
        <v>7.8840000000000003</v>
      </c>
      <c r="O557" s="178" t="str">
        <f t="shared" si="471"/>
        <v>X</v>
      </c>
      <c r="P557" s="176">
        <f>IF(L557&gt;0,L557,0)</f>
        <v>18.396000000000001</v>
      </c>
      <c r="Q557" s="178" t="s">
        <v>0</v>
      </c>
      <c r="R557" s="176"/>
      <c r="S557" s="178" t="s">
        <v>2578</v>
      </c>
      <c r="T557" s="178" t="str">
        <f t="shared" si="472"/>
        <v>X</v>
      </c>
      <c r="U557" s="176">
        <f t="shared" si="483"/>
        <v>7.8840000000000003</v>
      </c>
      <c r="V557" s="178" t="str">
        <f t="shared" si="473"/>
        <v xml:space="preserve"> </v>
      </c>
      <c r="W557" s="176">
        <f t="shared" si="484"/>
        <v>0</v>
      </c>
      <c r="X557" s="178" t="str">
        <f t="shared" si="474"/>
        <v xml:space="preserve"> </v>
      </c>
      <c r="Y557" s="176">
        <f t="shared" si="485"/>
        <v>0</v>
      </c>
      <c r="Z557" s="178" t="s">
        <v>2581</v>
      </c>
      <c r="AA557" s="178" t="str">
        <f t="shared" si="475"/>
        <v>X</v>
      </c>
      <c r="AB557" s="176">
        <f t="shared" si="476"/>
        <v>4.53</v>
      </c>
      <c r="AC557" s="178" t="str">
        <f t="shared" si="477"/>
        <v xml:space="preserve"> </v>
      </c>
      <c r="AD557" s="176">
        <f t="shared" si="478"/>
        <v>0</v>
      </c>
      <c r="AE557" s="178" t="str">
        <f t="shared" si="479"/>
        <v xml:space="preserve"> </v>
      </c>
      <c r="AF557" s="176">
        <f t="shared" si="480"/>
        <v>0</v>
      </c>
      <c r="AG557" s="178" t="str">
        <f t="shared" si="481"/>
        <v/>
      </c>
      <c r="AH557" s="176">
        <f t="shared" si="482"/>
        <v>0</v>
      </c>
    </row>
    <row r="558" spans="2:34" ht="16.5" outlineLevel="1" x14ac:dyDescent="0.25">
      <c r="B558" s="175" t="s">
        <v>2591</v>
      </c>
      <c r="C558" s="176">
        <v>3.14</v>
      </c>
      <c r="D558" s="176">
        <v>7.1</v>
      </c>
      <c r="E558" s="194">
        <v>3</v>
      </c>
      <c r="F558" s="194">
        <v>2.1</v>
      </c>
      <c r="G558" s="194">
        <f t="shared" si="464"/>
        <v>0.89999999999999991</v>
      </c>
      <c r="H558" s="176"/>
      <c r="I558" s="178" t="str">
        <f t="shared" si="465"/>
        <v>X</v>
      </c>
      <c r="J558" s="176">
        <f t="shared" si="466"/>
        <v>21.299999999999997</v>
      </c>
      <c r="K558" s="178" t="str">
        <f t="shared" si="467"/>
        <v>X</v>
      </c>
      <c r="L558" s="176">
        <f t="shared" si="468"/>
        <v>14.91</v>
      </c>
      <c r="M558" s="178" t="str">
        <f t="shared" si="469"/>
        <v>X</v>
      </c>
      <c r="N558" s="177">
        <f t="shared" si="470"/>
        <v>6.389999999999997</v>
      </c>
      <c r="O558" s="178" t="str">
        <f t="shared" si="471"/>
        <v>X</v>
      </c>
      <c r="P558" s="176">
        <f>IF(L558&gt;0,L558,0)</f>
        <v>14.91</v>
      </c>
      <c r="Q558" s="178" t="s">
        <v>0</v>
      </c>
      <c r="R558" s="176"/>
      <c r="S558" s="178" t="s">
        <v>2578</v>
      </c>
      <c r="T558" s="178" t="str">
        <f t="shared" si="472"/>
        <v>X</v>
      </c>
      <c r="U558" s="176">
        <f t="shared" si="483"/>
        <v>6.389999999999997</v>
      </c>
      <c r="V558" s="178" t="str">
        <f t="shared" si="473"/>
        <v xml:space="preserve"> </v>
      </c>
      <c r="W558" s="176">
        <f t="shared" si="484"/>
        <v>0</v>
      </c>
      <c r="X558" s="178" t="str">
        <f t="shared" si="474"/>
        <v xml:space="preserve"> </v>
      </c>
      <c r="Y558" s="176">
        <f t="shared" si="485"/>
        <v>0</v>
      </c>
      <c r="Z558" s="178" t="s">
        <v>2581</v>
      </c>
      <c r="AA558" s="178" t="str">
        <f t="shared" si="475"/>
        <v>X</v>
      </c>
      <c r="AB558" s="176">
        <f t="shared" si="476"/>
        <v>3.14</v>
      </c>
      <c r="AC558" s="178" t="str">
        <f t="shared" si="477"/>
        <v xml:space="preserve"> </v>
      </c>
      <c r="AD558" s="176">
        <f t="shared" si="478"/>
        <v>0</v>
      </c>
      <c r="AE558" s="178" t="str">
        <f t="shared" si="479"/>
        <v xml:space="preserve"> </v>
      </c>
      <c r="AF558" s="176">
        <f t="shared" si="480"/>
        <v>0</v>
      </c>
      <c r="AG558" s="178" t="str">
        <f t="shared" si="481"/>
        <v/>
      </c>
      <c r="AH558" s="176">
        <f t="shared" si="482"/>
        <v>0</v>
      </c>
    </row>
    <row r="559" spans="2:34" ht="16.5" outlineLevel="1" x14ac:dyDescent="0.25">
      <c r="B559" s="175" t="s">
        <v>2730</v>
      </c>
      <c r="C559" s="176">
        <v>13.26</v>
      </c>
      <c r="D559" s="176">
        <v>15.01</v>
      </c>
      <c r="E559" s="194">
        <v>3</v>
      </c>
      <c r="F559" s="194">
        <v>0</v>
      </c>
      <c r="G559" s="194">
        <f t="shared" si="464"/>
        <v>3</v>
      </c>
      <c r="H559" s="176"/>
      <c r="I559" s="178" t="str">
        <f t="shared" si="465"/>
        <v>X</v>
      </c>
      <c r="J559" s="176">
        <f t="shared" si="466"/>
        <v>45.03</v>
      </c>
      <c r="K559" s="178" t="str">
        <f t="shared" si="467"/>
        <v xml:space="preserve"> </v>
      </c>
      <c r="L559" s="176">
        <f t="shared" si="468"/>
        <v>0</v>
      </c>
      <c r="M559" s="178" t="str">
        <f t="shared" si="469"/>
        <v>X</v>
      </c>
      <c r="N559" s="177">
        <f t="shared" si="470"/>
        <v>45.03</v>
      </c>
      <c r="O559" s="178" t="str">
        <f t="shared" si="471"/>
        <v xml:space="preserve"> </v>
      </c>
      <c r="P559" s="176">
        <v>1</v>
      </c>
      <c r="Q559" s="178" t="s">
        <v>0</v>
      </c>
      <c r="R559" s="176"/>
      <c r="S559" s="178" t="s">
        <v>2578</v>
      </c>
      <c r="T559" s="178" t="str">
        <f t="shared" si="472"/>
        <v>X</v>
      </c>
      <c r="U559" s="176">
        <f t="shared" si="483"/>
        <v>45.03</v>
      </c>
      <c r="V559" s="178" t="str">
        <f t="shared" si="473"/>
        <v xml:space="preserve"> </v>
      </c>
      <c r="W559" s="176">
        <f t="shared" si="484"/>
        <v>0</v>
      </c>
      <c r="X559" s="178" t="str">
        <f t="shared" si="474"/>
        <v xml:space="preserve"> </v>
      </c>
      <c r="Y559" s="176">
        <f t="shared" si="485"/>
        <v>0</v>
      </c>
      <c r="Z559" s="178" t="s">
        <v>2582</v>
      </c>
      <c r="AA559" s="178" t="str">
        <f t="shared" si="475"/>
        <v xml:space="preserve"> </v>
      </c>
      <c r="AB559" s="176">
        <f t="shared" si="476"/>
        <v>0</v>
      </c>
      <c r="AC559" s="178" t="str">
        <f t="shared" si="477"/>
        <v>X</v>
      </c>
      <c r="AD559" s="176">
        <f t="shared" si="478"/>
        <v>13.26</v>
      </c>
      <c r="AE559" s="178" t="str">
        <f t="shared" si="479"/>
        <v xml:space="preserve"> </v>
      </c>
      <c r="AF559" s="176">
        <f t="shared" si="480"/>
        <v>0</v>
      </c>
      <c r="AG559" s="178" t="str">
        <f t="shared" si="481"/>
        <v>X</v>
      </c>
      <c r="AH559" s="176">
        <f t="shared" si="482"/>
        <v>15.01</v>
      </c>
    </row>
    <row r="560" spans="2:34" ht="16.5" outlineLevel="1" x14ac:dyDescent="0.25">
      <c r="B560" s="175" t="s">
        <v>2749</v>
      </c>
      <c r="C560" s="176">
        <v>6.68</v>
      </c>
      <c r="D560" s="176">
        <v>10.48</v>
      </c>
      <c r="E560" s="194">
        <v>3</v>
      </c>
      <c r="F560" s="194">
        <v>0</v>
      </c>
      <c r="G560" s="194">
        <f t="shared" si="464"/>
        <v>3</v>
      </c>
      <c r="H560" s="176"/>
      <c r="I560" s="178" t="str">
        <f t="shared" si="465"/>
        <v>X</v>
      </c>
      <c r="J560" s="176">
        <f t="shared" si="466"/>
        <v>31.44</v>
      </c>
      <c r="K560" s="178" t="str">
        <f t="shared" si="467"/>
        <v xml:space="preserve"> </v>
      </c>
      <c r="L560" s="176">
        <f t="shared" si="468"/>
        <v>0</v>
      </c>
      <c r="M560" s="178" t="str">
        <f t="shared" si="469"/>
        <v>X</v>
      </c>
      <c r="N560" s="177">
        <f t="shared" si="470"/>
        <v>31.44</v>
      </c>
      <c r="O560" s="178" t="str">
        <f t="shared" si="471"/>
        <v xml:space="preserve"> </v>
      </c>
      <c r="P560" s="176">
        <f>IF(L560&gt;0,L560,0)</f>
        <v>0</v>
      </c>
      <c r="Q560" s="178" t="s">
        <v>0</v>
      </c>
      <c r="R560" s="176"/>
      <c r="S560" s="178" t="s">
        <v>2578</v>
      </c>
      <c r="T560" s="178" t="str">
        <f t="shared" si="472"/>
        <v>X</v>
      </c>
      <c r="U560" s="176">
        <f t="shared" si="483"/>
        <v>31.44</v>
      </c>
      <c r="V560" s="178" t="str">
        <f t="shared" si="473"/>
        <v xml:space="preserve"> </v>
      </c>
      <c r="W560" s="176">
        <f t="shared" si="484"/>
        <v>0</v>
      </c>
      <c r="X560" s="178" t="str">
        <f t="shared" si="474"/>
        <v xml:space="preserve"> </v>
      </c>
      <c r="Y560" s="176">
        <f t="shared" si="485"/>
        <v>0</v>
      </c>
      <c r="Z560" s="178" t="s">
        <v>2581</v>
      </c>
      <c r="AA560" s="178" t="str">
        <f t="shared" si="475"/>
        <v>X</v>
      </c>
      <c r="AB560" s="176">
        <f t="shared" si="476"/>
        <v>6.68</v>
      </c>
      <c r="AC560" s="178" t="str">
        <f t="shared" si="477"/>
        <v xml:space="preserve"> </v>
      </c>
      <c r="AD560" s="176">
        <f t="shared" si="478"/>
        <v>0</v>
      </c>
      <c r="AE560" s="178" t="str">
        <f t="shared" si="479"/>
        <v xml:space="preserve"> </v>
      </c>
      <c r="AF560" s="176">
        <f t="shared" si="480"/>
        <v>0</v>
      </c>
      <c r="AG560" s="178" t="str">
        <f t="shared" si="481"/>
        <v>X</v>
      </c>
      <c r="AH560" s="176">
        <f t="shared" si="482"/>
        <v>10.48</v>
      </c>
    </row>
    <row r="561" spans="2:34" ht="16.5" outlineLevel="1" x14ac:dyDescent="0.25">
      <c r="B561" s="175" t="s">
        <v>2750</v>
      </c>
      <c r="C561" s="176">
        <v>6.73</v>
      </c>
      <c r="D561" s="176">
        <v>10.48</v>
      </c>
      <c r="E561" s="194">
        <v>3</v>
      </c>
      <c r="F561" s="194">
        <v>0</v>
      </c>
      <c r="G561" s="194">
        <f t="shared" si="464"/>
        <v>3</v>
      </c>
      <c r="H561" s="176"/>
      <c r="I561" s="178" t="str">
        <f t="shared" si="465"/>
        <v>X</v>
      </c>
      <c r="J561" s="176">
        <f t="shared" si="466"/>
        <v>31.44</v>
      </c>
      <c r="K561" s="178" t="str">
        <f t="shared" si="467"/>
        <v xml:space="preserve"> </v>
      </c>
      <c r="L561" s="176">
        <f t="shared" si="468"/>
        <v>0</v>
      </c>
      <c r="M561" s="178" t="str">
        <f t="shared" si="469"/>
        <v>X</v>
      </c>
      <c r="N561" s="177">
        <f t="shared" si="470"/>
        <v>31.44</v>
      </c>
      <c r="O561" s="178" t="str">
        <f t="shared" si="471"/>
        <v xml:space="preserve"> </v>
      </c>
      <c r="P561" s="176">
        <f>IF(L561&gt;0,L561,0)</f>
        <v>0</v>
      </c>
      <c r="Q561" s="178" t="s">
        <v>0</v>
      </c>
      <c r="R561" s="176"/>
      <c r="S561" s="178" t="s">
        <v>2578</v>
      </c>
      <c r="T561" s="178" t="str">
        <f t="shared" si="472"/>
        <v>X</v>
      </c>
      <c r="U561" s="176">
        <f t="shared" si="483"/>
        <v>31.44</v>
      </c>
      <c r="V561" s="178" t="str">
        <f t="shared" si="473"/>
        <v xml:space="preserve"> </v>
      </c>
      <c r="W561" s="176">
        <f t="shared" si="484"/>
        <v>0</v>
      </c>
      <c r="X561" s="178" t="str">
        <f t="shared" si="474"/>
        <v xml:space="preserve"> </v>
      </c>
      <c r="Y561" s="176">
        <f t="shared" si="485"/>
        <v>0</v>
      </c>
      <c r="Z561" s="178" t="s">
        <v>2581</v>
      </c>
      <c r="AA561" s="178" t="str">
        <f t="shared" si="475"/>
        <v>X</v>
      </c>
      <c r="AB561" s="176">
        <f t="shared" si="476"/>
        <v>6.73</v>
      </c>
      <c r="AC561" s="178" t="str">
        <f t="shared" si="477"/>
        <v xml:space="preserve"> </v>
      </c>
      <c r="AD561" s="176">
        <f t="shared" si="478"/>
        <v>0</v>
      </c>
      <c r="AE561" s="178" t="str">
        <f t="shared" si="479"/>
        <v xml:space="preserve"> </v>
      </c>
      <c r="AF561" s="176">
        <f t="shared" si="480"/>
        <v>0</v>
      </c>
      <c r="AG561" s="178" t="str">
        <f t="shared" si="481"/>
        <v>X</v>
      </c>
      <c r="AH561" s="176">
        <f t="shared" si="482"/>
        <v>10.48</v>
      </c>
    </row>
    <row r="562" spans="2:34" ht="16.5" outlineLevel="1" x14ac:dyDescent="0.25">
      <c r="B562" s="175" t="s">
        <v>2826</v>
      </c>
      <c r="C562" s="176">
        <v>12.84</v>
      </c>
      <c r="D562" s="176">
        <v>17.399999999999999</v>
      </c>
      <c r="E562" s="194">
        <v>3</v>
      </c>
      <c r="F562" s="194">
        <v>0</v>
      </c>
      <c r="G562" s="194">
        <f t="shared" si="464"/>
        <v>3</v>
      </c>
      <c r="H562" s="176"/>
      <c r="I562" s="178" t="str">
        <f t="shared" si="465"/>
        <v>X</v>
      </c>
      <c r="J562" s="176">
        <f t="shared" si="466"/>
        <v>52.199999999999996</v>
      </c>
      <c r="K562" s="178" t="str">
        <f t="shared" si="467"/>
        <v xml:space="preserve"> </v>
      </c>
      <c r="L562" s="176">
        <f t="shared" si="468"/>
        <v>0</v>
      </c>
      <c r="M562" s="178" t="str">
        <f t="shared" si="469"/>
        <v>X</v>
      </c>
      <c r="N562" s="177">
        <f t="shared" si="470"/>
        <v>52.199999999999996</v>
      </c>
      <c r="O562" s="178" t="str">
        <f t="shared" si="471"/>
        <v xml:space="preserve"> </v>
      </c>
      <c r="P562" s="176">
        <v>1</v>
      </c>
      <c r="Q562" s="178" t="s">
        <v>0</v>
      </c>
      <c r="R562" s="176"/>
      <c r="S562" s="178" t="s">
        <v>2578</v>
      </c>
      <c r="T562" s="178" t="str">
        <f t="shared" si="472"/>
        <v>X</v>
      </c>
      <c r="U562" s="176">
        <f t="shared" si="483"/>
        <v>52.199999999999996</v>
      </c>
      <c r="V562" s="178" t="str">
        <f t="shared" si="473"/>
        <v xml:space="preserve"> </v>
      </c>
      <c r="W562" s="176">
        <f t="shared" si="484"/>
        <v>0</v>
      </c>
      <c r="X562" s="178" t="str">
        <f t="shared" si="474"/>
        <v xml:space="preserve"> </v>
      </c>
      <c r="Y562" s="176">
        <f t="shared" si="485"/>
        <v>0</v>
      </c>
      <c r="Z562" s="178" t="s">
        <v>2581</v>
      </c>
      <c r="AA562" s="178" t="str">
        <f t="shared" si="475"/>
        <v>X</v>
      </c>
      <c r="AB562" s="176">
        <f t="shared" si="476"/>
        <v>12.84</v>
      </c>
      <c r="AC562" s="178" t="str">
        <f t="shared" si="477"/>
        <v xml:space="preserve"> </v>
      </c>
      <c r="AD562" s="176">
        <f t="shared" si="478"/>
        <v>0</v>
      </c>
      <c r="AE562" s="178" t="str">
        <f t="shared" si="479"/>
        <v xml:space="preserve"> </v>
      </c>
      <c r="AF562" s="176">
        <f t="shared" si="480"/>
        <v>0</v>
      </c>
      <c r="AG562" s="178" t="str">
        <f t="shared" si="481"/>
        <v>X</v>
      </c>
      <c r="AH562" s="176">
        <f t="shared" si="482"/>
        <v>17.399999999999999</v>
      </c>
    </row>
    <row r="563" spans="2:34" ht="16.5" outlineLevel="1" x14ac:dyDescent="0.25">
      <c r="B563" s="175" t="s">
        <v>2827</v>
      </c>
      <c r="C563" s="176">
        <v>2.1</v>
      </c>
      <c r="D563" s="176">
        <v>6.35</v>
      </c>
      <c r="E563" s="194">
        <v>3</v>
      </c>
      <c r="F563" s="194">
        <v>2.1</v>
      </c>
      <c r="G563" s="194">
        <f t="shared" si="464"/>
        <v>0.89999999999999991</v>
      </c>
      <c r="H563" s="176"/>
      <c r="I563" s="178" t="str">
        <f t="shared" si="465"/>
        <v>X</v>
      </c>
      <c r="J563" s="176">
        <f t="shared" si="466"/>
        <v>19.049999999999997</v>
      </c>
      <c r="K563" s="178" t="str">
        <f t="shared" si="467"/>
        <v>X</v>
      </c>
      <c r="L563" s="176">
        <f t="shared" si="468"/>
        <v>13.334999999999999</v>
      </c>
      <c r="M563" s="178" t="str">
        <f t="shared" si="469"/>
        <v>X</v>
      </c>
      <c r="N563" s="177">
        <f t="shared" si="470"/>
        <v>5.7149999999999981</v>
      </c>
      <c r="O563" s="178" t="str">
        <f t="shared" si="471"/>
        <v>X</v>
      </c>
      <c r="P563" s="176">
        <f>IF(L563&gt;0,L563,0)</f>
        <v>13.334999999999999</v>
      </c>
      <c r="Q563" s="178" t="s">
        <v>0</v>
      </c>
      <c r="R563" s="176"/>
      <c r="S563" s="178" t="s">
        <v>2578</v>
      </c>
      <c r="T563" s="178" t="str">
        <f t="shared" si="472"/>
        <v>X</v>
      </c>
      <c r="U563" s="176">
        <f t="shared" si="483"/>
        <v>5.7149999999999981</v>
      </c>
      <c r="V563" s="178" t="str">
        <f t="shared" si="473"/>
        <v xml:space="preserve"> </v>
      </c>
      <c r="W563" s="176">
        <f t="shared" si="484"/>
        <v>0</v>
      </c>
      <c r="X563" s="178" t="str">
        <f t="shared" si="474"/>
        <v xml:space="preserve"> </v>
      </c>
      <c r="Y563" s="176">
        <f t="shared" si="485"/>
        <v>0</v>
      </c>
      <c r="Z563" s="178" t="s">
        <v>2581</v>
      </c>
      <c r="AA563" s="178" t="str">
        <f t="shared" si="475"/>
        <v>X</v>
      </c>
      <c r="AB563" s="176">
        <f t="shared" si="476"/>
        <v>2.1</v>
      </c>
      <c r="AC563" s="178" t="str">
        <f t="shared" si="477"/>
        <v xml:space="preserve"> </v>
      </c>
      <c r="AD563" s="176">
        <f t="shared" si="478"/>
        <v>0</v>
      </c>
      <c r="AE563" s="178" t="str">
        <f t="shared" si="479"/>
        <v xml:space="preserve"> </v>
      </c>
      <c r="AF563" s="176">
        <f t="shared" si="480"/>
        <v>0</v>
      </c>
      <c r="AG563" s="178" t="str">
        <f t="shared" si="481"/>
        <v/>
      </c>
      <c r="AH563" s="176">
        <f t="shared" si="482"/>
        <v>0</v>
      </c>
    </row>
    <row r="564" spans="2:34" ht="16.5" outlineLevel="1" x14ac:dyDescent="0.25">
      <c r="B564" s="175" t="s">
        <v>2828</v>
      </c>
      <c r="C564" s="176">
        <v>2.5099999999999998</v>
      </c>
      <c r="D564" s="176">
        <v>6.35</v>
      </c>
      <c r="E564" s="194">
        <v>3</v>
      </c>
      <c r="F564" s="194">
        <v>2.1</v>
      </c>
      <c r="G564" s="194">
        <f t="shared" si="464"/>
        <v>0.89999999999999991</v>
      </c>
      <c r="H564" s="176"/>
      <c r="I564" s="178" t="str">
        <f t="shared" si="465"/>
        <v>X</v>
      </c>
      <c r="J564" s="176">
        <f t="shared" si="466"/>
        <v>19.049999999999997</v>
      </c>
      <c r="K564" s="178" t="str">
        <f t="shared" si="467"/>
        <v>X</v>
      </c>
      <c r="L564" s="176">
        <f t="shared" si="468"/>
        <v>13.334999999999999</v>
      </c>
      <c r="M564" s="178" t="str">
        <f t="shared" si="469"/>
        <v>X</v>
      </c>
      <c r="N564" s="177">
        <f t="shared" si="470"/>
        <v>5.7149999999999981</v>
      </c>
      <c r="O564" s="178" t="str">
        <f t="shared" si="471"/>
        <v>X</v>
      </c>
      <c r="P564" s="176">
        <f>IF(L564&gt;0,L564,0)</f>
        <v>13.334999999999999</v>
      </c>
      <c r="Q564" s="178" t="s">
        <v>0</v>
      </c>
      <c r="R564" s="176"/>
      <c r="S564" s="178" t="s">
        <v>2578</v>
      </c>
      <c r="T564" s="178" t="str">
        <f t="shared" si="472"/>
        <v>X</v>
      </c>
      <c r="U564" s="176">
        <f t="shared" si="483"/>
        <v>5.7149999999999981</v>
      </c>
      <c r="V564" s="178" t="str">
        <f t="shared" si="473"/>
        <v xml:space="preserve"> </v>
      </c>
      <c r="W564" s="176">
        <f t="shared" si="484"/>
        <v>0</v>
      </c>
      <c r="X564" s="178" t="str">
        <f t="shared" si="474"/>
        <v xml:space="preserve"> </v>
      </c>
      <c r="Y564" s="176">
        <f t="shared" si="485"/>
        <v>0</v>
      </c>
      <c r="Z564" s="178" t="s">
        <v>2581</v>
      </c>
      <c r="AA564" s="178" t="str">
        <f t="shared" si="475"/>
        <v>X</v>
      </c>
      <c r="AB564" s="176">
        <f t="shared" si="476"/>
        <v>2.5099999999999998</v>
      </c>
      <c r="AC564" s="178" t="str">
        <f t="shared" si="477"/>
        <v xml:space="preserve"> </v>
      </c>
      <c r="AD564" s="176">
        <f t="shared" si="478"/>
        <v>0</v>
      </c>
      <c r="AE564" s="178" t="str">
        <f t="shared" si="479"/>
        <v xml:space="preserve"> </v>
      </c>
      <c r="AF564" s="176">
        <f t="shared" si="480"/>
        <v>0</v>
      </c>
      <c r="AG564" s="178" t="str">
        <f t="shared" si="481"/>
        <v/>
      </c>
      <c r="AH564" s="176">
        <f t="shared" si="482"/>
        <v>0</v>
      </c>
    </row>
    <row r="565" spans="2:34" ht="16.5" outlineLevel="1" x14ac:dyDescent="0.25">
      <c r="B565" s="175" t="s">
        <v>2675</v>
      </c>
      <c r="C565" s="176">
        <v>25.26</v>
      </c>
      <c r="D565" s="176">
        <v>21.06</v>
      </c>
      <c r="E565" s="194">
        <v>3</v>
      </c>
      <c r="F565" s="194">
        <v>0</v>
      </c>
      <c r="G565" s="194">
        <f t="shared" si="464"/>
        <v>3</v>
      </c>
      <c r="H565" s="176"/>
      <c r="I565" s="178" t="str">
        <f t="shared" si="465"/>
        <v>X</v>
      </c>
      <c r="J565" s="176">
        <f t="shared" si="466"/>
        <v>63.179999999999993</v>
      </c>
      <c r="K565" s="178" t="str">
        <f t="shared" si="467"/>
        <v xml:space="preserve"> </v>
      </c>
      <c r="L565" s="176">
        <f t="shared" si="468"/>
        <v>0</v>
      </c>
      <c r="M565" s="178" t="str">
        <f t="shared" si="469"/>
        <v>X</v>
      </c>
      <c r="N565" s="177">
        <f t="shared" si="470"/>
        <v>63.179999999999993</v>
      </c>
      <c r="O565" s="178" t="str">
        <f t="shared" si="471"/>
        <v xml:space="preserve"> </v>
      </c>
      <c r="P565" s="176">
        <v>1</v>
      </c>
      <c r="Q565" s="178" t="s">
        <v>0</v>
      </c>
      <c r="R565" s="176"/>
      <c r="S565" s="178" t="s">
        <v>2578</v>
      </c>
      <c r="T565" s="178" t="str">
        <f t="shared" si="472"/>
        <v>X</v>
      </c>
      <c r="U565" s="176">
        <f t="shared" si="483"/>
        <v>63.179999999999993</v>
      </c>
      <c r="V565" s="178" t="str">
        <f t="shared" si="473"/>
        <v xml:space="preserve"> </v>
      </c>
      <c r="W565" s="176">
        <f t="shared" si="484"/>
        <v>0</v>
      </c>
      <c r="X565" s="178" t="str">
        <f t="shared" si="474"/>
        <v xml:space="preserve"> </v>
      </c>
      <c r="Y565" s="176">
        <f t="shared" si="485"/>
        <v>0</v>
      </c>
      <c r="Z565" s="178" t="s">
        <v>2581</v>
      </c>
      <c r="AA565" s="178" t="str">
        <f t="shared" si="475"/>
        <v>X</v>
      </c>
      <c r="AB565" s="176">
        <f t="shared" si="476"/>
        <v>25.26</v>
      </c>
      <c r="AC565" s="178" t="str">
        <f t="shared" si="477"/>
        <v xml:space="preserve"> </v>
      </c>
      <c r="AD565" s="176">
        <f t="shared" si="478"/>
        <v>0</v>
      </c>
      <c r="AE565" s="178" t="str">
        <f t="shared" si="479"/>
        <v xml:space="preserve"> </v>
      </c>
      <c r="AF565" s="176">
        <f t="shared" si="480"/>
        <v>0</v>
      </c>
      <c r="AG565" s="178" t="str">
        <f t="shared" si="481"/>
        <v>X</v>
      </c>
      <c r="AH565" s="176">
        <f t="shared" si="482"/>
        <v>21.06</v>
      </c>
    </row>
    <row r="566" spans="2:34" ht="16.5" outlineLevel="1" x14ac:dyDescent="0.25">
      <c r="B566" s="175" t="s">
        <v>2676</v>
      </c>
      <c r="C566" s="176">
        <v>5.17</v>
      </c>
      <c r="D566" s="176">
        <v>9.99</v>
      </c>
      <c r="E566" s="194">
        <v>3</v>
      </c>
      <c r="F566" s="194">
        <v>2.1</v>
      </c>
      <c r="G566" s="194">
        <f t="shared" si="464"/>
        <v>0.89999999999999991</v>
      </c>
      <c r="H566" s="176"/>
      <c r="I566" s="178" t="str">
        <f t="shared" si="465"/>
        <v>X</v>
      </c>
      <c r="J566" s="176">
        <f t="shared" si="466"/>
        <v>29.97</v>
      </c>
      <c r="K566" s="178" t="str">
        <f t="shared" si="467"/>
        <v>X</v>
      </c>
      <c r="L566" s="176">
        <f t="shared" si="468"/>
        <v>20.979000000000003</v>
      </c>
      <c r="M566" s="178" t="str">
        <f t="shared" si="469"/>
        <v>X</v>
      </c>
      <c r="N566" s="177">
        <f t="shared" si="470"/>
        <v>8.9909999999999961</v>
      </c>
      <c r="O566" s="178" t="str">
        <f t="shared" si="471"/>
        <v>X</v>
      </c>
      <c r="P566" s="176">
        <f>IF(L566&gt;0,L566,0)</f>
        <v>20.979000000000003</v>
      </c>
      <c r="Q566" s="178" t="s">
        <v>0</v>
      </c>
      <c r="R566" s="176"/>
      <c r="S566" s="178" t="s">
        <v>2578</v>
      </c>
      <c r="T566" s="178" t="str">
        <f t="shared" si="472"/>
        <v>X</v>
      </c>
      <c r="U566" s="176">
        <f t="shared" si="483"/>
        <v>8.9909999999999961</v>
      </c>
      <c r="V566" s="178" t="str">
        <f t="shared" si="473"/>
        <v xml:space="preserve"> </v>
      </c>
      <c r="W566" s="176">
        <f t="shared" si="484"/>
        <v>0</v>
      </c>
      <c r="X566" s="178" t="str">
        <f t="shared" si="474"/>
        <v xml:space="preserve"> </v>
      </c>
      <c r="Y566" s="176">
        <f t="shared" si="485"/>
        <v>0</v>
      </c>
      <c r="Z566" s="178" t="s">
        <v>2581</v>
      </c>
      <c r="AA566" s="178" t="str">
        <f t="shared" si="475"/>
        <v>X</v>
      </c>
      <c r="AB566" s="176">
        <f t="shared" si="476"/>
        <v>5.17</v>
      </c>
      <c r="AC566" s="178" t="str">
        <f t="shared" si="477"/>
        <v xml:space="preserve"> </v>
      </c>
      <c r="AD566" s="176">
        <f t="shared" si="478"/>
        <v>0</v>
      </c>
      <c r="AE566" s="178" t="str">
        <f t="shared" si="479"/>
        <v xml:space="preserve"> </v>
      </c>
      <c r="AF566" s="176">
        <f t="shared" si="480"/>
        <v>0</v>
      </c>
      <c r="AG566" s="178" t="str">
        <f t="shared" si="481"/>
        <v/>
      </c>
      <c r="AH566" s="176">
        <f t="shared" si="482"/>
        <v>0</v>
      </c>
    </row>
    <row r="567" spans="2:34" ht="16.5" outlineLevel="1" x14ac:dyDescent="0.25">
      <c r="B567" s="175" t="s">
        <v>2679</v>
      </c>
      <c r="C567" s="176">
        <v>25.32</v>
      </c>
      <c r="D567" s="176">
        <v>21.08</v>
      </c>
      <c r="E567" s="194">
        <v>3</v>
      </c>
      <c r="F567" s="194">
        <v>0</v>
      </c>
      <c r="G567" s="194">
        <f t="shared" si="464"/>
        <v>3</v>
      </c>
      <c r="H567" s="176"/>
      <c r="I567" s="178" t="str">
        <f t="shared" si="465"/>
        <v>X</v>
      </c>
      <c r="J567" s="176">
        <f t="shared" si="466"/>
        <v>63.239999999999995</v>
      </c>
      <c r="K567" s="178" t="str">
        <f t="shared" si="467"/>
        <v xml:space="preserve"> </v>
      </c>
      <c r="L567" s="176">
        <f t="shared" si="468"/>
        <v>0</v>
      </c>
      <c r="M567" s="178" t="str">
        <f t="shared" si="469"/>
        <v>X</v>
      </c>
      <c r="N567" s="177">
        <f t="shared" si="470"/>
        <v>63.239999999999995</v>
      </c>
      <c r="O567" s="178" t="str">
        <f t="shared" si="471"/>
        <v xml:space="preserve"> </v>
      </c>
      <c r="P567" s="176">
        <v>1</v>
      </c>
      <c r="Q567" s="178" t="s">
        <v>0</v>
      </c>
      <c r="R567" s="176"/>
      <c r="S567" s="178" t="s">
        <v>2578</v>
      </c>
      <c r="T567" s="178" t="str">
        <f t="shared" si="472"/>
        <v>X</v>
      </c>
      <c r="U567" s="176">
        <f t="shared" si="483"/>
        <v>63.239999999999995</v>
      </c>
      <c r="V567" s="178" t="str">
        <f t="shared" si="473"/>
        <v xml:space="preserve"> </v>
      </c>
      <c r="W567" s="176">
        <f t="shared" si="484"/>
        <v>0</v>
      </c>
      <c r="X567" s="178" t="str">
        <f t="shared" si="474"/>
        <v xml:space="preserve"> </v>
      </c>
      <c r="Y567" s="176">
        <f t="shared" si="485"/>
        <v>0</v>
      </c>
      <c r="Z567" s="178" t="s">
        <v>2581</v>
      </c>
      <c r="AA567" s="178" t="str">
        <f t="shared" si="475"/>
        <v>X</v>
      </c>
      <c r="AB567" s="176">
        <f t="shared" si="476"/>
        <v>25.32</v>
      </c>
      <c r="AC567" s="178" t="str">
        <f t="shared" si="477"/>
        <v xml:space="preserve"> </v>
      </c>
      <c r="AD567" s="176">
        <f t="shared" si="478"/>
        <v>0</v>
      </c>
      <c r="AE567" s="178" t="str">
        <f t="shared" si="479"/>
        <v xml:space="preserve"> </v>
      </c>
      <c r="AF567" s="176">
        <f t="shared" si="480"/>
        <v>0</v>
      </c>
      <c r="AG567" s="178" t="str">
        <f t="shared" si="481"/>
        <v>X</v>
      </c>
      <c r="AH567" s="176">
        <f t="shared" si="482"/>
        <v>21.08</v>
      </c>
    </row>
    <row r="568" spans="2:34" ht="16.5" outlineLevel="1" x14ac:dyDescent="0.25">
      <c r="B568" s="175" t="s">
        <v>2680</v>
      </c>
      <c r="C568" s="176">
        <v>5.17</v>
      </c>
      <c r="D568" s="176">
        <v>9.99</v>
      </c>
      <c r="E568" s="194">
        <v>3</v>
      </c>
      <c r="F568" s="194">
        <v>2.1</v>
      </c>
      <c r="G568" s="194">
        <f t="shared" si="464"/>
        <v>0.89999999999999991</v>
      </c>
      <c r="H568" s="176"/>
      <c r="I568" s="178" t="str">
        <f t="shared" si="465"/>
        <v>X</v>
      </c>
      <c r="J568" s="176">
        <f t="shared" si="466"/>
        <v>29.97</v>
      </c>
      <c r="K568" s="178" t="str">
        <f t="shared" si="467"/>
        <v>X</v>
      </c>
      <c r="L568" s="176">
        <f t="shared" si="468"/>
        <v>20.979000000000003</v>
      </c>
      <c r="M568" s="178" t="str">
        <f t="shared" si="469"/>
        <v>X</v>
      </c>
      <c r="N568" s="177">
        <f t="shared" si="470"/>
        <v>8.9909999999999961</v>
      </c>
      <c r="O568" s="178" t="str">
        <f t="shared" si="471"/>
        <v>X</v>
      </c>
      <c r="P568" s="176">
        <f>IF(L568&gt;0,L568,0)</f>
        <v>20.979000000000003</v>
      </c>
      <c r="Q568" s="178" t="s">
        <v>0</v>
      </c>
      <c r="R568" s="176"/>
      <c r="S568" s="178" t="s">
        <v>2578</v>
      </c>
      <c r="T568" s="178" t="str">
        <f t="shared" si="472"/>
        <v>X</v>
      </c>
      <c r="U568" s="176">
        <f t="shared" si="483"/>
        <v>8.9909999999999961</v>
      </c>
      <c r="V568" s="178" t="str">
        <f t="shared" si="473"/>
        <v xml:space="preserve"> </v>
      </c>
      <c r="W568" s="176">
        <f t="shared" si="484"/>
        <v>0</v>
      </c>
      <c r="X568" s="178" t="str">
        <f t="shared" si="474"/>
        <v xml:space="preserve"> </v>
      </c>
      <c r="Y568" s="176">
        <f t="shared" si="485"/>
        <v>0</v>
      </c>
      <c r="Z568" s="178" t="s">
        <v>2581</v>
      </c>
      <c r="AA568" s="178" t="str">
        <f t="shared" si="475"/>
        <v>X</v>
      </c>
      <c r="AB568" s="176">
        <f t="shared" si="476"/>
        <v>5.17</v>
      </c>
      <c r="AC568" s="178" t="str">
        <f t="shared" si="477"/>
        <v xml:space="preserve"> </v>
      </c>
      <c r="AD568" s="176">
        <f t="shared" si="478"/>
        <v>0</v>
      </c>
      <c r="AE568" s="178" t="str">
        <f t="shared" si="479"/>
        <v xml:space="preserve"> </v>
      </c>
      <c r="AF568" s="176">
        <f t="shared" si="480"/>
        <v>0</v>
      </c>
      <c r="AG568" s="178" t="str">
        <f t="shared" si="481"/>
        <v/>
      </c>
      <c r="AH568" s="176">
        <f t="shared" si="482"/>
        <v>0</v>
      </c>
    </row>
    <row r="569" spans="2:34" ht="16.5" outlineLevel="1" x14ac:dyDescent="0.25">
      <c r="B569" s="175" t="s">
        <v>2594</v>
      </c>
      <c r="C569" s="176">
        <v>77.36</v>
      </c>
      <c r="D569" s="176">
        <v>74.73</v>
      </c>
      <c r="E569" s="194">
        <v>3</v>
      </c>
      <c r="F569" s="194">
        <v>0</v>
      </c>
      <c r="G569" s="194">
        <f t="shared" si="464"/>
        <v>3</v>
      </c>
      <c r="H569" s="176"/>
      <c r="I569" s="178" t="str">
        <f t="shared" si="465"/>
        <v>X</v>
      </c>
      <c r="J569" s="176">
        <f t="shared" si="466"/>
        <v>224.19</v>
      </c>
      <c r="K569" s="178" t="str">
        <f t="shared" si="467"/>
        <v xml:space="preserve"> </v>
      </c>
      <c r="L569" s="176">
        <f t="shared" si="468"/>
        <v>0</v>
      </c>
      <c r="M569" s="178" t="str">
        <f t="shared" si="469"/>
        <v>X</v>
      </c>
      <c r="N569" s="177">
        <f t="shared" si="470"/>
        <v>224.19</v>
      </c>
      <c r="O569" s="178" t="str">
        <f t="shared" si="471"/>
        <v xml:space="preserve"> </v>
      </c>
      <c r="P569" s="176">
        <f>IF(L569&gt;0,L569,0)</f>
        <v>0</v>
      </c>
      <c r="Q569" s="178" t="s">
        <v>0</v>
      </c>
      <c r="R569" s="176"/>
      <c r="S569" s="178" t="s">
        <v>2578</v>
      </c>
      <c r="T569" s="178" t="str">
        <f t="shared" si="472"/>
        <v>X</v>
      </c>
      <c r="U569" s="176">
        <f t="shared" si="483"/>
        <v>224.19</v>
      </c>
      <c r="V569" s="178" t="str">
        <f t="shared" si="473"/>
        <v xml:space="preserve"> </v>
      </c>
      <c r="W569" s="176">
        <f t="shared" si="484"/>
        <v>0</v>
      </c>
      <c r="X569" s="178" t="str">
        <f t="shared" si="474"/>
        <v xml:space="preserve"> </v>
      </c>
      <c r="Y569" s="176">
        <f t="shared" si="485"/>
        <v>0</v>
      </c>
      <c r="Z569" s="178" t="s">
        <v>2582</v>
      </c>
      <c r="AA569" s="178" t="str">
        <f t="shared" si="475"/>
        <v xml:space="preserve"> </v>
      </c>
      <c r="AB569" s="176">
        <f t="shared" si="476"/>
        <v>0</v>
      </c>
      <c r="AC569" s="178" t="str">
        <f t="shared" si="477"/>
        <v>X</v>
      </c>
      <c r="AD569" s="176">
        <f t="shared" si="478"/>
        <v>77.36</v>
      </c>
      <c r="AE569" s="178" t="str">
        <f t="shared" si="479"/>
        <v xml:space="preserve"> </v>
      </c>
      <c r="AF569" s="176">
        <f t="shared" si="480"/>
        <v>0</v>
      </c>
      <c r="AG569" s="178" t="str">
        <f t="shared" si="481"/>
        <v>X</v>
      </c>
      <c r="AH569" s="176">
        <f t="shared" si="482"/>
        <v>74.73</v>
      </c>
    </row>
    <row r="570" spans="2:34" ht="16.5" outlineLevel="1" x14ac:dyDescent="0.25">
      <c r="B570" s="175" t="s">
        <v>2829</v>
      </c>
      <c r="C570" s="176">
        <v>27.91</v>
      </c>
      <c r="D570" s="176">
        <v>22</v>
      </c>
      <c r="E570" s="194">
        <v>3</v>
      </c>
      <c r="F570" s="194">
        <v>0</v>
      </c>
      <c r="G570" s="194">
        <f t="shared" si="464"/>
        <v>3</v>
      </c>
      <c r="H570" s="176"/>
      <c r="I570" s="178" t="str">
        <f t="shared" si="465"/>
        <v>X</v>
      </c>
      <c r="J570" s="176">
        <f t="shared" si="466"/>
        <v>66</v>
      </c>
      <c r="K570" s="178" t="str">
        <f t="shared" si="467"/>
        <v xml:space="preserve"> </v>
      </c>
      <c r="L570" s="176">
        <f t="shared" si="468"/>
        <v>0</v>
      </c>
      <c r="M570" s="178" t="str">
        <f t="shared" si="469"/>
        <v>X</v>
      </c>
      <c r="N570" s="177">
        <f t="shared" si="470"/>
        <v>66</v>
      </c>
      <c r="O570" s="178" t="str">
        <f t="shared" si="471"/>
        <v xml:space="preserve"> </v>
      </c>
      <c r="P570" s="176">
        <v>1</v>
      </c>
      <c r="Q570" s="178" t="s">
        <v>0</v>
      </c>
      <c r="R570" s="176"/>
      <c r="S570" s="178" t="s">
        <v>2578</v>
      </c>
      <c r="T570" s="178" t="str">
        <f t="shared" si="472"/>
        <v>X</v>
      </c>
      <c r="U570" s="176">
        <f t="shared" si="483"/>
        <v>66</v>
      </c>
      <c r="V570" s="178" t="str">
        <f t="shared" si="473"/>
        <v xml:space="preserve"> </v>
      </c>
      <c r="W570" s="176">
        <f t="shared" si="484"/>
        <v>0</v>
      </c>
      <c r="X570" s="178" t="str">
        <f t="shared" si="474"/>
        <v xml:space="preserve"> </v>
      </c>
      <c r="Y570" s="176">
        <f t="shared" si="485"/>
        <v>0</v>
      </c>
      <c r="Z570" s="178" t="s">
        <v>2581</v>
      </c>
      <c r="AA570" s="178" t="str">
        <f t="shared" si="475"/>
        <v>X</v>
      </c>
      <c r="AB570" s="176">
        <f t="shared" si="476"/>
        <v>27.91</v>
      </c>
      <c r="AC570" s="178" t="str">
        <f t="shared" si="477"/>
        <v xml:space="preserve"> </v>
      </c>
      <c r="AD570" s="176">
        <f t="shared" si="478"/>
        <v>0</v>
      </c>
      <c r="AE570" s="178" t="str">
        <f t="shared" si="479"/>
        <v xml:space="preserve"> </v>
      </c>
      <c r="AF570" s="176">
        <f t="shared" si="480"/>
        <v>0</v>
      </c>
      <c r="AG570" s="178" t="str">
        <f t="shared" si="481"/>
        <v>X</v>
      </c>
      <c r="AH570" s="176">
        <f t="shared" si="482"/>
        <v>22</v>
      </c>
    </row>
    <row r="571" spans="2:34" ht="16.5" outlineLevel="1" x14ac:dyDescent="0.25">
      <c r="B571" s="175" t="s">
        <v>2830</v>
      </c>
      <c r="C571" s="176">
        <v>5.23</v>
      </c>
      <c r="D571" s="176">
        <v>10.06</v>
      </c>
      <c r="E571" s="194">
        <v>3</v>
      </c>
      <c r="F571" s="194">
        <v>2.1</v>
      </c>
      <c r="G571" s="194">
        <f t="shared" si="464"/>
        <v>0.89999999999999991</v>
      </c>
      <c r="H571" s="176"/>
      <c r="I571" s="178" t="str">
        <f t="shared" si="465"/>
        <v>X</v>
      </c>
      <c r="J571" s="176">
        <f t="shared" si="466"/>
        <v>30.18</v>
      </c>
      <c r="K571" s="178" t="str">
        <f t="shared" si="467"/>
        <v>X</v>
      </c>
      <c r="L571" s="176">
        <f t="shared" si="468"/>
        <v>21.126000000000001</v>
      </c>
      <c r="M571" s="178" t="str">
        <f t="shared" si="469"/>
        <v>X</v>
      </c>
      <c r="N571" s="177">
        <f t="shared" si="470"/>
        <v>9.0539999999999985</v>
      </c>
      <c r="O571" s="178" t="str">
        <f t="shared" si="471"/>
        <v>X</v>
      </c>
      <c r="P571" s="176">
        <f>IF(L571&gt;0,L571,0)</f>
        <v>21.126000000000001</v>
      </c>
      <c r="Q571" s="178" t="s">
        <v>0</v>
      </c>
      <c r="R571" s="176"/>
      <c r="S571" s="178" t="s">
        <v>2578</v>
      </c>
      <c r="T571" s="178" t="str">
        <f t="shared" si="472"/>
        <v>X</v>
      </c>
      <c r="U571" s="176">
        <f t="shared" si="483"/>
        <v>9.0539999999999985</v>
      </c>
      <c r="V571" s="178" t="str">
        <f t="shared" si="473"/>
        <v xml:space="preserve"> </v>
      </c>
      <c r="W571" s="176">
        <f t="shared" si="484"/>
        <v>0</v>
      </c>
      <c r="X571" s="178" t="str">
        <f t="shared" si="474"/>
        <v xml:space="preserve"> </v>
      </c>
      <c r="Y571" s="176">
        <f t="shared" si="485"/>
        <v>0</v>
      </c>
      <c r="Z571" s="178" t="s">
        <v>2581</v>
      </c>
      <c r="AA571" s="178" t="str">
        <f t="shared" si="475"/>
        <v>X</v>
      </c>
      <c r="AB571" s="176">
        <f t="shared" si="476"/>
        <v>5.23</v>
      </c>
      <c r="AC571" s="178" t="str">
        <f t="shared" si="477"/>
        <v xml:space="preserve"> </v>
      </c>
      <c r="AD571" s="176">
        <f t="shared" si="478"/>
        <v>0</v>
      </c>
      <c r="AE571" s="178" t="str">
        <f t="shared" si="479"/>
        <v xml:space="preserve"> </v>
      </c>
      <c r="AF571" s="176">
        <f t="shared" si="480"/>
        <v>0</v>
      </c>
      <c r="AG571" s="178" t="str">
        <f t="shared" si="481"/>
        <v/>
      </c>
      <c r="AH571" s="176">
        <f t="shared" si="482"/>
        <v>0</v>
      </c>
    </row>
    <row r="572" spans="2:34" ht="16.5" outlineLevel="1" x14ac:dyDescent="0.25">
      <c r="B572" s="175" t="s">
        <v>2598</v>
      </c>
      <c r="C572" s="176">
        <v>2.83</v>
      </c>
      <c r="D572" s="176">
        <v>7.16</v>
      </c>
      <c r="E572" s="194">
        <v>3</v>
      </c>
      <c r="F572" s="194">
        <v>0</v>
      </c>
      <c r="G572" s="194">
        <f t="shared" si="464"/>
        <v>3</v>
      </c>
      <c r="H572" s="176"/>
      <c r="I572" s="178" t="str">
        <f t="shared" si="465"/>
        <v>X</v>
      </c>
      <c r="J572" s="176">
        <f t="shared" si="466"/>
        <v>21.48</v>
      </c>
      <c r="K572" s="178" t="str">
        <f t="shared" si="467"/>
        <v xml:space="preserve"> </v>
      </c>
      <c r="L572" s="176">
        <f t="shared" si="468"/>
        <v>0</v>
      </c>
      <c r="M572" s="178" t="str">
        <f t="shared" si="469"/>
        <v>X</v>
      </c>
      <c r="N572" s="177">
        <f t="shared" si="470"/>
        <v>21.48</v>
      </c>
      <c r="O572" s="178" t="str">
        <f t="shared" si="471"/>
        <v xml:space="preserve"> </v>
      </c>
      <c r="P572" s="176">
        <v>1</v>
      </c>
      <c r="Q572" s="178" t="s">
        <v>0</v>
      </c>
      <c r="R572" s="176"/>
      <c r="S572" s="178" t="s">
        <v>2578</v>
      </c>
      <c r="T572" s="178" t="str">
        <f t="shared" si="472"/>
        <v>X</v>
      </c>
      <c r="U572" s="176">
        <f t="shared" si="483"/>
        <v>21.48</v>
      </c>
      <c r="V572" s="178" t="str">
        <f t="shared" si="473"/>
        <v xml:space="preserve"> </v>
      </c>
      <c r="W572" s="176">
        <f t="shared" si="484"/>
        <v>0</v>
      </c>
      <c r="X572" s="178" t="str">
        <f t="shared" si="474"/>
        <v xml:space="preserve"> </v>
      </c>
      <c r="Y572" s="176">
        <f t="shared" si="485"/>
        <v>0</v>
      </c>
      <c r="Z572" s="178" t="s">
        <v>2581</v>
      </c>
      <c r="AA572" s="178" t="str">
        <f t="shared" si="475"/>
        <v>X</v>
      </c>
      <c r="AB572" s="176">
        <f t="shared" si="476"/>
        <v>2.83</v>
      </c>
      <c r="AC572" s="178" t="str">
        <f t="shared" si="477"/>
        <v xml:space="preserve"> </v>
      </c>
      <c r="AD572" s="176">
        <f t="shared" si="478"/>
        <v>0</v>
      </c>
      <c r="AE572" s="178" t="str">
        <f t="shared" si="479"/>
        <v xml:space="preserve"> </v>
      </c>
      <c r="AF572" s="176">
        <f t="shared" si="480"/>
        <v>0</v>
      </c>
      <c r="AG572" s="178" t="str">
        <f t="shared" si="481"/>
        <v>X</v>
      </c>
      <c r="AH572" s="176">
        <f t="shared" si="482"/>
        <v>7.16</v>
      </c>
    </row>
    <row r="573" spans="2:34" ht="16.5" outlineLevel="1" x14ac:dyDescent="0.25">
      <c r="B573" s="175" t="s">
        <v>2678</v>
      </c>
      <c r="C573" s="176">
        <v>5.77</v>
      </c>
      <c r="D573" s="176">
        <v>10.67</v>
      </c>
      <c r="E573" s="194">
        <v>3</v>
      </c>
      <c r="F573" s="194">
        <v>2.1</v>
      </c>
      <c r="G573" s="194">
        <f t="shared" si="464"/>
        <v>0.89999999999999991</v>
      </c>
      <c r="H573" s="176"/>
      <c r="I573" s="178" t="str">
        <f t="shared" si="465"/>
        <v>X</v>
      </c>
      <c r="J573" s="176">
        <f t="shared" si="466"/>
        <v>32.01</v>
      </c>
      <c r="K573" s="178" t="str">
        <f t="shared" si="467"/>
        <v>X</v>
      </c>
      <c r="L573" s="176">
        <f t="shared" si="468"/>
        <v>22.407</v>
      </c>
      <c r="M573" s="178" t="str">
        <f t="shared" si="469"/>
        <v>X</v>
      </c>
      <c r="N573" s="177">
        <f t="shared" si="470"/>
        <v>9.602999999999998</v>
      </c>
      <c r="O573" s="178" t="str">
        <f t="shared" si="471"/>
        <v>X</v>
      </c>
      <c r="P573" s="176">
        <f>IF(L573&gt;0,L573,0)</f>
        <v>22.407</v>
      </c>
      <c r="Q573" s="178" t="s">
        <v>0</v>
      </c>
      <c r="R573" s="176"/>
      <c r="S573" s="178" t="s">
        <v>2578</v>
      </c>
      <c r="T573" s="178" t="str">
        <f t="shared" si="472"/>
        <v>X</v>
      </c>
      <c r="U573" s="176">
        <f t="shared" si="483"/>
        <v>9.602999999999998</v>
      </c>
      <c r="V573" s="178" t="str">
        <f t="shared" si="473"/>
        <v xml:space="preserve"> </v>
      </c>
      <c r="W573" s="176">
        <f t="shared" si="484"/>
        <v>0</v>
      </c>
      <c r="X573" s="178" t="str">
        <f t="shared" si="474"/>
        <v xml:space="preserve"> </v>
      </c>
      <c r="Y573" s="176">
        <f t="shared" si="485"/>
        <v>0</v>
      </c>
      <c r="Z573" s="178" t="s">
        <v>2581</v>
      </c>
      <c r="AA573" s="178" t="str">
        <f t="shared" si="475"/>
        <v>X</v>
      </c>
      <c r="AB573" s="176">
        <f t="shared" si="476"/>
        <v>5.77</v>
      </c>
      <c r="AC573" s="178" t="str">
        <f t="shared" si="477"/>
        <v xml:space="preserve"> </v>
      </c>
      <c r="AD573" s="176">
        <f t="shared" si="478"/>
        <v>0</v>
      </c>
      <c r="AE573" s="178" t="str">
        <f t="shared" si="479"/>
        <v xml:space="preserve"> </v>
      </c>
      <c r="AF573" s="176">
        <f t="shared" si="480"/>
        <v>0</v>
      </c>
      <c r="AG573" s="178" t="str">
        <f t="shared" si="481"/>
        <v/>
      </c>
      <c r="AH573" s="176">
        <f t="shared" si="482"/>
        <v>0</v>
      </c>
    </row>
    <row r="574" spans="2:34" ht="16.5" outlineLevel="1" x14ac:dyDescent="0.25">
      <c r="B574" s="175" t="s">
        <v>2677</v>
      </c>
      <c r="C574" s="176">
        <v>23.7</v>
      </c>
      <c r="D574" s="176">
        <v>20.28</v>
      </c>
      <c r="E574" s="194">
        <v>3</v>
      </c>
      <c r="F574" s="194">
        <v>0</v>
      </c>
      <c r="G574" s="194">
        <f t="shared" si="464"/>
        <v>3</v>
      </c>
      <c r="H574" s="176"/>
      <c r="I574" s="178" t="str">
        <f t="shared" si="465"/>
        <v>X</v>
      </c>
      <c r="J574" s="176">
        <f t="shared" si="466"/>
        <v>60.84</v>
      </c>
      <c r="K574" s="178" t="str">
        <f t="shared" si="467"/>
        <v xml:space="preserve"> </v>
      </c>
      <c r="L574" s="176">
        <f t="shared" si="468"/>
        <v>0</v>
      </c>
      <c r="M574" s="178" t="str">
        <f t="shared" si="469"/>
        <v>X</v>
      </c>
      <c r="N574" s="177">
        <f t="shared" si="470"/>
        <v>60.84</v>
      </c>
      <c r="O574" s="178" t="str">
        <f t="shared" si="471"/>
        <v xml:space="preserve"> </v>
      </c>
      <c r="P574" s="176">
        <v>1</v>
      </c>
      <c r="Q574" s="178" t="s">
        <v>0</v>
      </c>
      <c r="R574" s="176"/>
      <c r="S574" s="178" t="s">
        <v>2578</v>
      </c>
      <c r="T574" s="178" t="str">
        <f t="shared" si="472"/>
        <v>X</v>
      </c>
      <c r="U574" s="176">
        <f t="shared" si="483"/>
        <v>60.84</v>
      </c>
      <c r="V574" s="178" t="str">
        <f t="shared" si="473"/>
        <v xml:space="preserve"> </v>
      </c>
      <c r="W574" s="176">
        <f t="shared" si="484"/>
        <v>0</v>
      </c>
      <c r="X574" s="178" t="str">
        <f t="shared" si="474"/>
        <v xml:space="preserve"> </v>
      </c>
      <c r="Y574" s="176">
        <f t="shared" si="485"/>
        <v>0</v>
      </c>
      <c r="Z574" s="178" t="s">
        <v>2581</v>
      </c>
      <c r="AA574" s="178" t="str">
        <f t="shared" si="475"/>
        <v>X</v>
      </c>
      <c r="AB574" s="176">
        <f t="shared" si="476"/>
        <v>23.7</v>
      </c>
      <c r="AC574" s="178" t="str">
        <f t="shared" si="477"/>
        <v xml:space="preserve"> </v>
      </c>
      <c r="AD574" s="176">
        <f t="shared" si="478"/>
        <v>0</v>
      </c>
      <c r="AE574" s="178" t="str">
        <f t="shared" si="479"/>
        <v xml:space="preserve"> </v>
      </c>
      <c r="AF574" s="176">
        <f t="shared" si="480"/>
        <v>0</v>
      </c>
      <c r="AG574" s="178" t="str">
        <f t="shared" si="481"/>
        <v>X</v>
      </c>
      <c r="AH574" s="176">
        <f t="shared" si="482"/>
        <v>20.28</v>
      </c>
    </row>
    <row r="575" spans="2:34" ht="16.5" outlineLevel="1" x14ac:dyDescent="0.25">
      <c r="B575" s="175" t="s">
        <v>2831</v>
      </c>
      <c r="C575" s="176">
        <v>27.49</v>
      </c>
      <c r="D575" s="176">
        <v>21.79</v>
      </c>
      <c r="E575" s="194">
        <v>3</v>
      </c>
      <c r="F575" s="194">
        <v>0</v>
      </c>
      <c r="G575" s="194">
        <f t="shared" si="464"/>
        <v>3</v>
      </c>
      <c r="H575" s="176"/>
      <c r="I575" s="178" t="str">
        <f t="shared" si="465"/>
        <v>X</v>
      </c>
      <c r="J575" s="176">
        <f t="shared" si="466"/>
        <v>65.37</v>
      </c>
      <c r="K575" s="178" t="str">
        <f t="shared" si="467"/>
        <v xml:space="preserve"> </v>
      </c>
      <c r="L575" s="176">
        <f t="shared" si="468"/>
        <v>0</v>
      </c>
      <c r="M575" s="178" t="str">
        <f t="shared" si="469"/>
        <v>X</v>
      </c>
      <c r="N575" s="177">
        <f t="shared" si="470"/>
        <v>65.37</v>
      </c>
      <c r="O575" s="178" t="str">
        <f t="shared" si="471"/>
        <v xml:space="preserve"> </v>
      </c>
      <c r="P575" s="176">
        <v>1</v>
      </c>
      <c r="Q575" s="178" t="s">
        <v>0</v>
      </c>
      <c r="R575" s="176"/>
      <c r="S575" s="178" t="s">
        <v>2578</v>
      </c>
      <c r="T575" s="178" t="str">
        <f t="shared" si="472"/>
        <v>X</v>
      </c>
      <c r="U575" s="176">
        <f t="shared" si="483"/>
        <v>65.37</v>
      </c>
      <c r="V575" s="178" t="str">
        <f t="shared" si="473"/>
        <v xml:space="preserve"> </v>
      </c>
      <c r="W575" s="176">
        <f t="shared" si="484"/>
        <v>0</v>
      </c>
      <c r="X575" s="178" t="str">
        <f t="shared" si="474"/>
        <v xml:space="preserve"> </v>
      </c>
      <c r="Y575" s="176">
        <f t="shared" si="485"/>
        <v>0</v>
      </c>
      <c r="Z575" s="178" t="s">
        <v>2581</v>
      </c>
      <c r="AA575" s="178" t="str">
        <f t="shared" si="475"/>
        <v>X</v>
      </c>
      <c r="AB575" s="176">
        <f t="shared" si="476"/>
        <v>27.49</v>
      </c>
      <c r="AC575" s="178" t="str">
        <f t="shared" si="477"/>
        <v xml:space="preserve"> </v>
      </c>
      <c r="AD575" s="176">
        <f t="shared" si="478"/>
        <v>0</v>
      </c>
      <c r="AE575" s="178" t="str">
        <f t="shared" si="479"/>
        <v xml:space="preserve"> </v>
      </c>
      <c r="AF575" s="176">
        <f t="shared" si="480"/>
        <v>0</v>
      </c>
      <c r="AG575" s="178" t="str">
        <f t="shared" si="481"/>
        <v>X</v>
      </c>
      <c r="AH575" s="176">
        <f t="shared" si="482"/>
        <v>21.79</v>
      </c>
    </row>
    <row r="576" spans="2:34" ht="16.5" outlineLevel="1" x14ac:dyDescent="0.25">
      <c r="B576" s="175" t="s">
        <v>2832</v>
      </c>
      <c r="C576" s="176">
        <v>5.2</v>
      </c>
      <c r="D576" s="176">
        <v>10.01</v>
      </c>
      <c r="E576" s="194">
        <v>3</v>
      </c>
      <c r="F576" s="194">
        <v>2.1</v>
      </c>
      <c r="G576" s="194">
        <f t="shared" si="464"/>
        <v>0.89999999999999991</v>
      </c>
      <c r="H576" s="176"/>
      <c r="I576" s="178" t="str">
        <f t="shared" si="465"/>
        <v>X</v>
      </c>
      <c r="J576" s="176">
        <f t="shared" si="466"/>
        <v>30.03</v>
      </c>
      <c r="K576" s="178" t="str">
        <f t="shared" si="467"/>
        <v>X</v>
      </c>
      <c r="L576" s="176">
        <f t="shared" si="468"/>
        <v>21.021000000000001</v>
      </c>
      <c r="M576" s="178" t="str">
        <f t="shared" si="469"/>
        <v>X</v>
      </c>
      <c r="N576" s="177">
        <f t="shared" si="470"/>
        <v>9.0090000000000003</v>
      </c>
      <c r="O576" s="178" t="str">
        <f t="shared" si="471"/>
        <v>X</v>
      </c>
      <c r="P576" s="176">
        <f>IF(L576&gt;0,L576,0)</f>
        <v>21.021000000000001</v>
      </c>
      <c r="Q576" s="178" t="s">
        <v>0</v>
      </c>
      <c r="R576" s="176"/>
      <c r="S576" s="178" t="s">
        <v>2578</v>
      </c>
      <c r="T576" s="178" t="str">
        <f t="shared" si="472"/>
        <v>X</v>
      </c>
      <c r="U576" s="176">
        <f t="shared" si="483"/>
        <v>9.0090000000000003</v>
      </c>
      <c r="V576" s="178" t="str">
        <f t="shared" si="473"/>
        <v xml:space="preserve"> </v>
      </c>
      <c r="W576" s="176">
        <f t="shared" si="484"/>
        <v>0</v>
      </c>
      <c r="X576" s="178" t="str">
        <f t="shared" si="474"/>
        <v xml:space="preserve"> </v>
      </c>
      <c r="Y576" s="176">
        <f t="shared" si="485"/>
        <v>0</v>
      </c>
      <c r="Z576" s="178" t="s">
        <v>2581</v>
      </c>
      <c r="AA576" s="178" t="str">
        <f t="shared" si="475"/>
        <v>X</v>
      </c>
      <c r="AB576" s="176">
        <f t="shared" si="476"/>
        <v>5.2</v>
      </c>
      <c r="AC576" s="178" t="str">
        <f t="shared" si="477"/>
        <v xml:space="preserve"> </v>
      </c>
      <c r="AD576" s="176">
        <f t="shared" si="478"/>
        <v>0</v>
      </c>
      <c r="AE576" s="178" t="str">
        <f t="shared" si="479"/>
        <v xml:space="preserve"> </v>
      </c>
      <c r="AF576" s="176">
        <f t="shared" si="480"/>
        <v>0</v>
      </c>
      <c r="AG576" s="178" t="str">
        <f t="shared" si="481"/>
        <v/>
      </c>
      <c r="AH576" s="176">
        <f t="shared" si="482"/>
        <v>0</v>
      </c>
    </row>
    <row r="577" spans="2:34" ht="16.5" outlineLevel="1" x14ac:dyDescent="0.25">
      <c r="B577" s="175" t="s">
        <v>2833</v>
      </c>
      <c r="C577" s="176">
        <v>27.41</v>
      </c>
      <c r="D577" s="176">
        <v>21.79</v>
      </c>
      <c r="E577" s="194">
        <v>3</v>
      </c>
      <c r="F577" s="194">
        <v>0</v>
      </c>
      <c r="G577" s="194">
        <f t="shared" si="464"/>
        <v>3</v>
      </c>
      <c r="H577" s="176"/>
      <c r="I577" s="178" t="str">
        <f t="shared" si="465"/>
        <v>X</v>
      </c>
      <c r="J577" s="176">
        <f t="shared" si="466"/>
        <v>65.37</v>
      </c>
      <c r="K577" s="178" t="str">
        <f t="shared" si="467"/>
        <v xml:space="preserve"> </v>
      </c>
      <c r="L577" s="176">
        <f t="shared" si="468"/>
        <v>0</v>
      </c>
      <c r="M577" s="178" t="str">
        <f t="shared" si="469"/>
        <v>X</v>
      </c>
      <c r="N577" s="177">
        <f t="shared" si="470"/>
        <v>65.37</v>
      </c>
      <c r="O577" s="178" t="str">
        <f t="shared" si="471"/>
        <v xml:space="preserve"> </v>
      </c>
      <c r="P577" s="176">
        <v>1</v>
      </c>
      <c r="Q577" s="178" t="s">
        <v>0</v>
      </c>
      <c r="R577" s="176"/>
      <c r="S577" s="178" t="s">
        <v>2578</v>
      </c>
      <c r="T577" s="178" t="str">
        <f t="shared" si="472"/>
        <v>X</v>
      </c>
      <c r="U577" s="176">
        <f t="shared" si="483"/>
        <v>65.37</v>
      </c>
      <c r="V577" s="178" t="str">
        <f t="shared" si="473"/>
        <v xml:space="preserve"> </v>
      </c>
      <c r="W577" s="176">
        <f t="shared" si="484"/>
        <v>0</v>
      </c>
      <c r="X577" s="178" t="str">
        <f t="shared" si="474"/>
        <v xml:space="preserve"> </v>
      </c>
      <c r="Y577" s="176">
        <f t="shared" si="485"/>
        <v>0</v>
      </c>
      <c r="Z577" s="178" t="s">
        <v>2581</v>
      </c>
      <c r="AA577" s="178" t="str">
        <f t="shared" si="475"/>
        <v>X</v>
      </c>
      <c r="AB577" s="176">
        <f t="shared" si="476"/>
        <v>27.41</v>
      </c>
      <c r="AC577" s="178" t="str">
        <f t="shared" si="477"/>
        <v xml:space="preserve"> </v>
      </c>
      <c r="AD577" s="176">
        <f t="shared" si="478"/>
        <v>0</v>
      </c>
      <c r="AE577" s="178" t="str">
        <f t="shared" si="479"/>
        <v xml:space="preserve"> </v>
      </c>
      <c r="AF577" s="176">
        <f t="shared" si="480"/>
        <v>0</v>
      </c>
      <c r="AG577" s="178" t="str">
        <f t="shared" si="481"/>
        <v>X</v>
      </c>
      <c r="AH577" s="176">
        <f t="shared" si="482"/>
        <v>21.79</v>
      </c>
    </row>
    <row r="578" spans="2:34" ht="16.5" outlineLevel="1" x14ac:dyDescent="0.25">
      <c r="B578" s="175" t="s">
        <v>2834</v>
      </c>
      <c r="C578" s="176">
        <v>5.2</v>
      </c>
      <c r="D578" s="176">
        <v>10.01</v>
      </c>
      <c r="E578" s="194">
        <v>3</v>
      </c>
      <c r="F578" s="194">
        <v>2.1</v>
      </c>
      <c r="G578" s="194">
        <f t="shared" si="464"/>
        <v>0.89999999999999991</v>
      </c>
      <c r="H578" s="176"/>
      <c r="I578" s="178" t="str">
        <f t="shared" si="465"/>
        <v>X</v>
      </c>
      <c r="J578" s="176">
        <f t="shared" si="466"/>
        <v>30.03</v>
      </c>
      <c r="K578" s="178" t="str">
        <f t="shared" si="467"/>
        <v>X</v>
      </c>
      <c r="L578" s="176">
        <f t="shared" si="468"/>
        <v>21.021000000000001</v>
      </c>
      <c r="M578" s="178" t="str">
        <f t="shared" si="469"/>
        <v>X</v>
      </c>
      <c r="N578" s="177">
        <f t="shared" si="470"/>
        <v>9.0090000000000003</v>
      </c>
      <c r="O578" s="178" t="str">
        <f t="shared" si="471"/>
        <v>X</v>
      </c>
      <c r="P578" s="176">
        <f>IF(L578&gt;0,L578,0)</f>
        <v>21.021000000000001</v>
      </c>
      <c r="Q578" s="178" t="s">
        <v>0</v>
      </c>
      <c r="R578" s="176"/>
      <c r="S578" s="178" t="s">
        <v>2578</v>
      </c>
      <c r="T578" s="178" t="str">
        <f t="shared" si="472"/>
        <v>X</v>
      </c>
      <c r="U578" s="176">
        <f t="shared" si="483"/>
        <v>9.0090000000000003</v>
      </c>
      <c r="V578" s="178" t="str">
        <f t="shared" si="473"/>
        <v xml:space="preserve"> </v>
      </c>
      <c r="W578" s="176">
        <f t="shared" si="484"/>
        <v>0</v>
      </c>
      <c r="X578" s="178" t="str">
        <f t="shared" si="474"/>
        <v xml:space="preserve"> </v>
      </c>
      <c r="Y578" s="176">
        <f t="shared" si="485"/>
        <v>0</v>
      </c>
      <c r="Z578" s="178" t="s">
        <v>2581</v>
      </c>
      <c r="AA578" s="178" t="str">
        <f t="shared" si="475"/>
        <v>X</v>
      </c>
      <c r="AB578" s="176">
        <f t="shared" si="476"/>
        <v>5.2</v>
      </c>
      <c r="AC578" s="178" t="str">
        <f t="shared" si="477"/>
        <v xml:space="preserve"> </v>
      </c>
      <c r="AD578" s="176">
        <f t="shared" si="478"/>
        <v>0</v>
      </c>
      <c r="AE578" s="178" t="str">
        <f t="shared" si="479"/>
        <v xml:space="preserve"> </v>
      </c>
      <c r="AF578" s="176">
        <f t="shared" si="480"/>
        <v>0</v>
      </c>
      <c r="AG578" s="178" t="str">
        <f t="shared" si="481"/>
        <v/>
      </c>
      <c r="AH578" s="176">
        <f t="shared" si="482"/>
        <v>0</v>
      </c>
    </row>
    <row r="579" spans="2:34" ht="16.5" outlineLevel="1" x14ac:dyDescent="0.25">
      <c r="B579" s="175" t="s">
        <v>2835</v>
      </c>
      <c r="C579" s="176">
        <v>27.34</v>
      </c>
      <c r="D579" s="176">
        <v>21.77</v>
      </c>
      <c r="E579" s="194">
        <v>3</v>
      </c>
      <c r="F579" s="194">
        <v>0</v>
      </c>
      <c r="G579" s="194">
        <f t="shared" si="464"/>
        <v>3</v>
      </c>
      <c r="H579" s="176"/>
      <c r="I579" s="178" t="str">
        <f t="shared" si="465"/>
        <v>X</v>
      </c>
      <c r="J579" s="176">
        <f t="shared" si="466"/>
        <v>65.31</v>
      </c>
      <c r="K579" s="178" t="str">
        <f t="shared" si="467"/>
        <v xml:space="preserve"> </v>
      </c>
      <c r="L579" s="176">
        <f t="shared" si="468"/>
        <v>0</v>
      </c>
      <c r="M579" s="178" t="str">
        <f t="shared" si="469"/>
        <v>X</v>
      </c>
      <c r="N579" s="177">
        <f t="shared" si="470"/>
        <v>65.31</v>
      </c>
      <c r="O579" s="178" t="str">
        <f t="shared" si="471"/>
        <v xml:space="preserve"> </v>
      </c>
      <c r="P579" s="176">
        <v>1</v>
      </c>
      <c r="Q579" s="178" t="s">
        <v>0</v>
      </c>
      <c r="R579" s="176"/>
      <c r="S579" s="178" t="s">
        <v>2578</v>
      </c>
      <c r="T579" s="178" t="str">
        <f t="shared" si="472"/>
        <v>X</v>
      </c>
      <c r="U579" s="176">
        <f t="shared" si="483"/>
        <v>65.31</v>
      </c>
      <c r="V579" s="178" t="str">
        <f t="shared" si="473"/>
        <v xml:space="preserve"> </v>
      </c>
      <c r="W579" s="176">
        <f t="shared" si="484"/>
        <v>0</v>
      </c>
      <c r="X579" s="178" t="str">
        <f t="shared" si="474"/>
        <v xml:space="preserve"> </v>
      </c>
      <c r="Y579" s="176">
        <f t="shared" si="485"/>
        <v>0</v>
      </c>
      <c r="Z579" s="178" t="s">
        <v>2581</v>
      </c>
      <c r="AA579" s="178" t="str">
        <f t="shared" si="475"/>
        <v>X</v>
      </c>
      <c r="AB579" s="176">
        <f t="shared" si="476"/>
        <v>27.34</v>
      </c>
      <c r="AC579" s="178" t="str">
        <f t="shared" si="477"/>
        <v xml:space="preserve"> </v>
      </c>
      <c r="AD579" s="176">
        <f t="shared" si="478"/>
        <v>0</v>
      </c>
      <c r="AE579" s="178" t="str">
        <f t="shared" si="479"/>
        <v xml:space="preserve"> </v>
      </c>
      <c r="AF579" s="176">
        <f t="shared" si="480"/>
        <v>0</v>
      </c>
      <c r="AG579" s="178" t="str">
        <f t="shared" si="481"/>
        <v>X</v>
      </c>
      <c r="AH579" s="176">
        <f t="shared" si="482"/>
        <v>21.77</v>
      </c>
    </row>
    <row r="580" spans="2:34" ht="16.5" outlineLevel="1" x14ac:dyDescent="0.25">
      <c r="B580" s="175" t="s">
        <v>2836</v>
      </c>
      <c r="C580" s="176">
        <v>5.7</v>
      </c>
      <c r="D580" s="176">
        <v>10.11</v>
      </c>
      <c r="E580" s="194">
        <v>3</v>
      </c>
      <c r="F580" s="194">
        <v>2.1</v>
      </c>
      <c r="G580" s="194">
        <f t="shared" si="464"/>
        <v>0.89999999999999991</v>
      </c>
      <c r="H580" s="176"/>
      <c r="I580" s="178" t="str">
        <f t="shared" si="465"/>
        <v>X</v>
      </c>
      <c r="J580" s="176">
        <f t="shared" si="466"/>
        <v>30.33</v>
      </c>
      <c r="K580" s="178" t="str">
        <f t="shared" si="467"/>
        <v>X</v>
      </c>
      <c r="L580" s="176">
        <f t="shared" si="468"/>
        <v>21.230999999999998</v>
      </c>
      <c r="M580" s="178" t="str">
        <f t="shared" si="469"/>
        <v>X</v>
      </c>
      <c r="N580" s="177">
        <f t="shared" si="470"/>
        <v>9.0990000000000002</v>
      </c>
      <c r="O580" s="178" t="str">
        <f t="shared" si="471"/>
        <v>X</v>
      </c>
      <c r="P580" s="176">
        <f>IF(L580&gt;0,L580,0)</f>
        <v>21.230999999999998</v>
      </c>
      <c r="Q580" s="178" t="s">
        <v>0</v>
      </c>
      <c r="R580" s="176"/>
      <c r="S580" s="178" t="s">
        <v>2578</v>
      </c>
      <c r="T580" s="178" t="str">
        <f t="shared" si="472"/>
        <v>X</v>
      </c>
      <c r="U580" s="176">
        <f t="shared" si="483"/>
        <v>9.0990000000000002</v>
      </c>
      <c r="V580" s="178" t="str">
        <f t="shared" si="473"/>
        <v xml:space="preserve"> </v>
      </c>
      <c r="W580" s="176">
        <f t="shared" si="484"/>
        <v>0</v>
      </c>
      <c r="X580" s="178" t="str">
        <f t="shared" si="474"/>
        <v xml:space="preserve"> </v>
      </c>
      <c r="Y580" s="176">
        <f t="shared" si="485"/>
        <v>0</v>
      </c>
      <c r="Z580" s="178" t="s">
        <v>2581</v>
      </c>
      <c r="AA580" s="178" t="str">
        <f t="shared" si="475"/>
        <v>X</v>
      </c>
      <c r="AB580" s="176">
        <f t="shared" si="476"/>
        <v>5.7</v>
      </c>
      <c r="AC580" s="178" t="str">
        <f t="shared" si="477"/>
        <v xml:space="preserve"> </v>
      </c>
      <c r="AD580" s="176">
        <f t="shared" si="478"/>
        <v>0</v>
      </c>
      <c r="AE580" s="178" t="str">
        <f t="shared" si="479"/>
        <v xml:space="preserve"> </v>
      </c>
      <c r="AF580" s="176">
        <f t="shared" si="480"/>
        <v>0</v>
      </c>
      <c r="AG580" s="178" t="str">
        <f t="shared" si="481"/>
        <v/>
      </c>
      <c r="AH580" s="176">
        <f t="shared" si="482"/>
        <v>0</v>
      </c>
    </row>
    <row r="581" spans="2:34" ht="16.5" outlineLevel="1" x14ac:dyDescent="0.25">
      <c r="B581" s="175" t="s">
        <v>2594</v>
      </c>
      <c r="C581" s="176">
        <v>136.75</v>
      </c>
      <c r="D581" s="176">
        <v>107.5</v>
      </c>
      <c r="E581" s="194">
        <v>3</v>
      </c>
      <c r="F581" s="194">
        <v>0</v>
      </c>
      <c r="G581" s="194">
        <f t="shared" si="464"/>
        <v>3</v>
      </c>
      <c r="H581" s="176">
        <v>2.6</v>
      </c>
      <c r="I581" s="178" t="str">
        <f t="shared" si="465"/>
        <v>X</v>
      </c>
      <c r="J581" s="176">
        <f t="shared" si="466"/>
        <v>314.70000000000005</v>
      </c>
      <c r="K581" s="178" t="str">
        <f t="shared" si="467"/>
        <v xml:space="preserve"> </v>
      </c>
      <c r="L581" s="176">
        <f t="shared" si="468"/>
        <v>0</v>
      </c>
      <c r="M581" s="178" t="str">
        <f t="shared" si="469"/>
        <v>X</v>
      </c>
      <c r="N581" s="177">
        <f t="shared" si="470"/>
        <v>314.70000000000005</v>
      </c>
      <c r="O581" s="178" t="str">
        <f t="shared" si="471"/>
        <v xml:space="preserve"> </v>
      </c>
      <c r="P581" s="176">
        <f>IF(L581&gt;0,L581,0)</f>
        <v>0</v>
      </c>
      <c r="Q581" s="178" t="s">
        <v>0</v>
      </c>
      <c r="R581" s="176"/>
      <c r="S581" s="178" t="s">
        <v>2578</v>
      </c>
      <c r="T581" s="178" t="str">
        <f t="shared" si="472"/>
        <v>X</v>
      </c>
      <c r="U581" s="176">
        <f t="shared" si="483"/>
        <v>314.70000000000005</v>
      </c>
      <c r="V581" s="178" t="str">
        <f t="shared" si="473"/>
        <v xml:space="preserve"> </v>
      </c>
      <c r="W581" s="176">
        <f t="shared" si="484"/>
        <v>0</v>
      </c>
      <c r="X581" s="178" t="str">
        <f t="shared" si="474"/>
        <v xml:space="preserve"> </v>
      </c>
      <c r="Y581" s="176">
        <f t="shared" si="485"/>
        <v>0</v>
      </c>
      <c r="Z581" s="178" t="s">
        <v>2582</v>
      </c>
      <c r="AA581" s="178" t="str">
        <f t="shared" si="475"/>
        <v xml:space="preserve"> </v>
      </c>
      <c r="AB581" s="176">
        <f t="shared" si="476"/>
        <v>0</v>
      </c>
      <c r="AC581" s="178" t="str">
        <f t="shared" si="477"/>
        <v>X</v>
      </c>
      <c r="AD581" s="176">
        <f t="shared" si="478"/>
        <v>136.75</v>
      </c>
      <c r="AE581" s="178" t="str">
        <f t="shared" si="479"/>
        <v xml:space="preserve"> </v>
      </c>
      <c r="AF581" s="176">
        <f t="shared" si="480"/>
        <v>0</v>
      </c>
      <c r="AG581" s="178" t="str">
        <f t="shared" si="481"/>
        <v>X</v>
      </c>
      <c r="AH581" s="176">
        <f t="shared" si="482"/>
        <v>104.9</v>
      </c>
    </row>
    <row r="582" spans="2:34" ht="16.5" x14ac:dyDescent="0.25">
      <c r="B582" s="182"/>
      <c r="C582" s="185"/>
      <c r="D582" s="185"/>
      <c r="E582" s="185"/>
      <c r="F582" s="185"/>
      <c r="G582" s="185"/>
      <c r="H582" s="185"/>
      <c r="I582" s="184"/>
      <c r="J582" s="185"/>
      <c r="K582" s="184"/>
      <c r="L582" s="185"/>
      <c r="M582" s="184"/>
      <c r="N582" s="185"/>
      <c r="O582" s="201"/>
      <c r="P582" s="185"/>
      <c r="Q582" s="184"/>
      <c r="R582" s="189"/>
      <c r="S582" s="185"/>
      <c r="T582" s="184"/>
      <c r="U582" s="185"/>
      <c r="V582" s="184"/>
      <c r="W582" s="185"/>
      <c r="X582" s="184"/>
      <c r="Y582" s="189"/>
      <c r="Z582" s="185"/>
      <c r="AA582" s="184"/>
      <c r="AB582" s="185"/>
      <c r="AC582" s="184"/>
      <c r="AD582" s="185"/>
      <c r="AE582" s="184"/>
      <c r="AF582" s="189"/>
      <c r="AG582" s="184"/>
      <c r="AH582" s="189"/>
    </row>
    <row r="583" spans="2:34" ht="16.5" x14ac:dyDescent="0.25">
      <c r="B583" s="929" t="s">
        <v>2837</v>
      </c>
      <c r="C583" s="930"/>
      <c r="D583" s="930"/>
      <c r="E583" s="930"/>
      <c r="F583" s="930"/>
      <c r="G583" s="930"/>
      <c r="H583" s="931"/>
      <c r="I583" s="190" t="s">
        <v>2586</v>
      </c>
      <c r="J583" s="191">
        <f>SUBTOTAL(9,J584:J605)</f>
        <v>1110.96</v>
      </c>
      <c r="K583" s="192" t="s">
        <v>2586</v>
      </c>
      <c r="L583" s="191">
        <f>SUBTOTAL(9,L584:L605)</f>
        <v>210.88200000000003</v>
      </c>
      <c r="M583" s="190" t="s">
        <v>2586</v>
      </c>
      <c r="N583" s="200">
        <f>SUBTOTAL(9,N584:N605)</f>
        <v>900.07799999999986</v>
      </c>
      <c r="O583" s="190" t="s">
        <v>2586</v>
      </c>
      <c r="P583" s="191">
        <f>SUBTOTAL(9,P584:P605)</f>
        <v>217.88200000000003</v>
      </c>
      <c r="Q583" s="190" t="s">
        <v>2586</v>
      </c>
      <c r="R583" s="191">
        <f>SUBTOTAL(9,R584:R605)</f>
        <v>0</v>
      </c>
      <c r="S583" s="191"/>
      <c r="T583" s="190" t="s">
        <v>2586</v>
      </c>
      <c r="U583" s="200">
        <f>SUBTOTAL(9,U584:U605)</f>
        <v>900.07799999999986</v>
      </c>
      <c r="V583" s="190" t="s">
        <v>2586</v>
      </c>
      <c r="W583" s="191">
        <f>SUBTOTAL(9,W584:W605)</f>
        <v>0</v>
      </c>
      <c r="X583" s="190" t="s">
        <v>2586</v>
      </c>
      <c r="Y583" s="191">
        <f>SUBTOTAL(9,Y584:Y605)</f>
        <v>0</v>
      </c>
      <c r="Z583" s="191"/>
      <c r="AA583" s="190" t="s">
        <v>2586</v>
      </c>
      <c r="AB583" s="200">
        <f>SUBTOTAL(9,AB584:AB605)</f>
        <v>239.14000000000004</v>
      </c>
      <c r="AC583" s="190" t="s">
        <v>2586</v>
      </c>
      <c r="AD583" s="191">
        <f>SUBTOTAL(9,AD584:AD605)</f>
        <v>107.42999999999999</v>
      </c>
      <c r="AE583" s="190" t="s">
        <v>2586</v>
      </c>
      <c r="AF583" s="191">
        <f>SUBTOTAL(9,AF584:AF605)</f>
        <v>0</v>
      </c>
      <c r="AG583" s="190" t="s">
        <v>2586</v>
      </c>
      <c r="AH583" s="191">
        <f>SUBTOTAL(9,AH584:AH605)</f>
        <v>269.90000000000003</v>
      </c>
    </row>
    <row r="584" spans="2:34" ht="16.5" outlineLevel="1" x14ac:dyDescent="0.25">
      <c r="B584" s="175" t="s">
        <v>2642</v>
      </c>
      <c r="C584" s="176">
        <v>25.32</v>
      </c>
      <c r="D584" s="176">
        <v>21.07</v>
      </c>
      <c r="E584" s="194">
        <v>3</v>
      </c>
      <c r="F584" s="194">
        <v>0</v>
      </c>
      <c r="G584" s="194">
        <f t="shared" ref="G584:G605" si="486">E584-F584</f>
        <v>3</v>
      </c>
      <c r="H584" s="176"/>
      <c r="I584" s="178" t="str">
        <f t="shared" ref="I584:I605" si="487">IF($E584&gt;0,"X"," ")</f>
        <v>X</v>
      </c>
      <c r="J584" s="176">
        <f t="shared" ref="J584:J605" si="488">IF(I584="X",($D584-H584)*E584,0)</f>
        <v>63.21</v>
      </c>
      <c r="K584" s="178" t="str">
        <f t="shared" ref="K584:K605" si="489">IF($F584&gt;0,"X"," ")</f>
        <v xml:space="preserve"> </v>
      </c>
      <c r="L584" s="176">
        <f t="shared" ref="L584:L605" si="490">IF(K584="X",($D584-H584)*F584,0)</f>
        <v>0</v>
      </c>
      <c r="M584" s="178" t="str">
        <f t="shared" ref="M584:M605" si="491">IF($E584&gt;0,"X"," ")</f>
        <v>X</v>
      </c>
      <c r="N584" s="177">
        <f t="shared" ref="N584:N605" si="492">IF(M584="X",J584-L584,0)</f>
        <v>63.21</v>
      </c>
      <c r="O584" s="178" t="str">
        <f t="shared" ref="O584:O605" si="493">IF($F584&gt;0,"X"," ")</f>
        <v xml:space="preserve"> </v>
      </c>
      <c r="P584" s="176">
        <v>1</v>
      </c>
      <c r="Q584" s="178" t="s">
        <v>0</v>
      </c>
      <c r="R584" s="176"/>
      <c r="S584" s="178" t="s">
        <v>2578</v>
      </c>
      <c r="T584" s="178" t="str">
        <f t="shared" ref="T584:T605" si="494">IF($S584="ACRÍLICA","X"," ")</f>
        <v>X</v>
      </c>
      <c r="U584" s="176">
        <f>IF(T584="X",$N584,0)</f>
        <v>63.21</v>
      </c>
      <c r="V584" s="178" t="str">
        <f t="shared" ref="V584:V605" si="495">IF($S584="EPÓXI","X"," ")</f>
        <v xml:space="preserve"> </v>
      </c>
      <c r="W584" s="176">
        <f>IF(V584="X",$N584,0)</f>
        <v>0</v>
      </c>
      <c r="X584" s="178" t="str">
        <f t="shared" ref="X584:X605" si="496">IF($S584="TEXTURA","X"," ")</f>
        <v xml:space="preserve"> </v>
      </c>
      <c r="Y584" s="176">
        <f>IF(X584="X",$N584,0)</f>
        <v>0</v>
      </c>
      <c r="Z584" s="178" t="s">
        <v>2581</v>
      </c>
      <c r="AA584" s="178" t="str">
        <f t="shared" ref="AA584:AA605" si="497">IF($Z584="ACARTONADO","X"," ")</f>
        <v>X</v>
      </c>
      <c r="AB584" s="176">
        <f t="shared" ref="AB584:AB605" si="498">IF(AA584="X",$C584,0)</f>
        <v>25.32</v>
      </c>
      <c r="AC584" s="178" t="str">
        <f t="shared" ref="AC584:AC605" si="499">IF($Z584="MINERAL","X"," ")</f>
        <v xml:space="preserve"> </v>
      </c>
      <c r="AD584" s="176">
        <f t="shared" ref="AD584:AD605" si="500">IF(AC584="X",$C584,0)</f>
        <v>0</v>
      </c>
      <c r="AE584" s="178" t="str">
        <f t="shared" ref="AE584:AE605" si="501">IF($Z584="LAJE","X"," ")</f>
        <v xml:space="preserve"> </v>
      </c>
      <c r="AF584" s="176">
        <f t="shared" ref="AF584:AF605" si="502">IF(AE584="X",$C584,0)</f>
        <v>0</v>
      </c>
      <c r="AG584" s="178" t="str">
        <f t="shared" ref="AG584:AG605" si="503">IF(K584="X","","X")</f>
        <v>X</v>
      </c>
      <c r="AH584" s="176">
        <f t="shared" ref="AH584:AH605" si="504">IF(AG584="X",$D584-H584,0)</f>
        <v>21.07</v>
      </c>
    </row>
    <row r="585" spans="2:34" ht="16.5" outlineLevel="1" x14ac:dyDescent="0.25">
      <c r="B585" s="175" t="s">
        <v>2643</v>
      </c>
      <c r="C585" s="176">
        <v>5.17</v>
      </c>
      <c r="D585" s="176">
        <v>9.99</v>
      </c>
      <c r="E585" s="194">
        <v>3</v>
      </c>
      <c r="F585" s="194">
        <v>2.1</v>
      </c>
      <c r="G585" s="194">
        <f t="shared" si="486"/>
        <v>0.89999999999999991</v>
      </c>
      <c r="H585" s="176"/>
      <c r="I585" s="178" t="str">
        <f t="shared" si="487"/>
        <v>X</v>
      </c>
      <c r="J585" s="176">
        <f t="shared" si="488"/>
        <v>29.97</v>
      </c>
      <c r="K585" s="178" t="str">
        <f t="shared" si="489"/>
        <v>X</v>
      </c>
      <c r="L585" s="176">
        <f t="shared" si="490"/>
        <v>20.979000000000003</v>
      </c>
      <c r="M585" s="178" t="str">
        <f t="shared" si="491"/>
        <v>X</v>
      </c>
      <c r="N585" s="177">
        <f t="shared" si="492"/>
        <v>8.9909999999999961</v>
      </c>
      <c r="O585" s="178" t="str">
        <f t="shared" si="493"/>
        <v>X</v>
      </c>
      <c r="P585" s="176">
        <f>IF(L585&gt;0,L585,0)</f>
        <v>20.979000000000003</v>
      </c>
      <c r="Q585" s="178" t="s">
        <v>0</v>
      </c>
      <c r="R585" s="176"/>
      <c r="S585" s="178" t="s">
        <v>2578</v>
      </c>
      <c r="T585" s="178" t="str">
        <f t="shared" si="494"/>
        <v>X</v>
      </c>
      <c r="U585" s="176">
        <f t="shared" ref="U585:U605" si="505">IF(T585="X",$N585,0)</f>
        <v>8.9909999999999961</v>
      </c>
      <c r="V585" s="178" t="str">
        <f t="shared" si="495"/>
        <v xml:space="preserve"> </v>
      </c>
      <c r="W585" s="176">
        <f t="shared" ref="W585:W605" si="506">IF(V585="X",$N585,0)</f>
        <v>0</v>
      </c>
      <c r="X585" s="178" t="str">
        <f t="shared" si="496"/>
        <v xml:space="preserve"> </v>
      </c>
      <c r="Y585" s="176">
        <f t="shared" ref="Y585:Y605" si="507">IF(X585="X",$N585,0)</f>
        <v>0</v>
      </c>
      <c r="Z585" s="178" t="s">
        <v>2581</v>
      </c>
      <c r="AA585" s="178" t="str">
        <f t="shared" si="497"/>
        <v>X</v>
      </c>
      <c r="AB585" s="176">
        <f t="shared" si="498"/>
        <v>5.17</v>
      </c>
      <c r="AC585" s="178" t="str">
        <f t="shared" si="499"/>
        <v xml:space="preserve"> </v>
      </c>
      <c r="AD585" s="176">
        <f t="shared" si="500"/>
        <v>0</v>
      </c>
      <c r="AE585" s="178" t="str">
        <f t="shared" si="501"/>
        <v xml:space="preserve"> </v>
      </c>
      <c r="AF585" s="176">
        <f t="shared" si="502"/>
        <v>0</v>
      </c>
      <c r="AG585" s="178" t="str">
        <f t="shared" si="503"/>
        <v/>
      </c>
      <c r="AH585" s="176">
        <f t="shared" si="504"/>
        <v>0</v>
      </c>
    </row>
    <row r="586" spans="2:34" ht="16.5" outlineLevel="1" x14ac:dyDescent="0.25">
      <c r="B586" s="175" t="s">
        <v>2644</v>
      </c>
      <c r="C586" s="176">
        <v>25.37</v>
      </c>
      <c r="D586" s="176">
        <v>21.11</v>
      </c>
      <c r="E586" s="194">
        <v>3</v>
      </c>
      <c r="F586" s="194">
        <v>0</v>
      </c>
      <c r="G586" s="194">
        <f t="shared" si="486"/>
        <v>3</v>
      </c>
      <c r="H586" s="176"/>
      <c r="I586" s="178" t="str">
        <f t="shared" si="487"/>
        <v>X</v>
      </c>
      <c r="J586" s="176">
        <f t="shared" si="488"/>
        <v>63.33</v>
      </c>
      <c r="K586" s="178" t="str">
        <f t="shared" si="489"/>
        <v xml:space="preserve"> </v>
      </c>
      <c r="L586" s="176">
        <f t="shared" si="490"/>
        <v>0</v>
      </c>
      <c r="M586" s="178" t="str">
        <f t="shared" si="491"/>
        <v>X</v>
      </c>
      <c r="N586" s="177">
        <f t="shared" si="492"/>
        <v>63.33</v>
      </c>
      <c r="O586" s="178" t="str">
        <f t="shared" si="493"/>
        <v xml:space="preserve"> </v>
      </c>
      <c r="P586" s="176">
        <v>1</v>
      </c>
      <c r="Q586" s="178" t="s">
        <v>0</v>
      </c>
      <c r="R586" s="176"/>
      <c r="S586" s="178" t="s">
        <v>2578</v>
      </c>
      <c r="T586" s="178" t="str">
        <f t="shared" si="494"/>
        <v>X</v>
      </c>
      <c r="U586" s="176">
        <f t="shared" si="505"/>
        <v>63.33</v>
      </c>
      <c r="V586" s="178" t="str">
        <f t="shared" si="495"/>
        <v xml:space="preserve"> </v>
      </c>
      <c r="W586" s="176">
        <f t="shared" si="506"/>
        <v>0</v>
      </c>
      <c r="X586" s="178" t="str">
        <f t="shared" si="496"/>
        <v xml:space="preserve"> </v>
      </c>
      <c r="Y586" s="176">
        <f t="shared" si="507"/>
        <v>0</v>
      </c>
      <c r="Z586" s="178" t="s">
        <v>2581</v>
      </c>
      <c r="AA586" s="178" t="str">
        <f t="shared" si="497"/>
        <v>X</v>
      </c>
      <c r="AB586" s="176">
        <f t="shared" si="498"/>
        <v>25.37</v>
      </c>
      <c r="AC586" s="178" t="str">
        <f t="shared" si="499"/>
        <v xml:space="preserve"> </v>
      </c>
      <c r="AD586" s="176">
        <f t="shared" si="500"/>
        <v>0</v>
      </c>
      <c r="AE586" s="178" t="str">
        <f t="shared" si="501"/>
        <v xml:space="preserve"> </v>
      </c>
      <c r="AF586" s="176">
        <f t="shared" si="502"/>
        <v>0</v>
      </c>
      <c r="AG586" s="178" t="str">
        <f t="shared" si="503"/>
        <v>X</v>
      </c>
      <c r="AH586" s="176">
        <f t="shared" si="504"/>
        <v>21.11</v>
      </c>
    </row>
    <row r="587" spans="2:34" ht="16.5" outlineLevel="1" x14ac:dyDescent="0.25">
      <c r="B587" s="175" t="s">
        <v>2645</v>
      </c>
      <c r="C587" s="176">
        <v>5.18</v>
      </c>
      <c r="D587" s="176">
        <v>9.99</v>
      </c>
      <c r="E587" s="194">
        <v>3</v>
      </c>
      <c r="F587" s="194">
        <v>2.1</v>
      </c>
      <c r="G587" s="194">
        <f t="shared" si="486"/>
        <v>0.89999999999999991</v>
      </c>
      <c r="H587" s="176"/>
      <c r="I587" s="178" t="str">
        <f t="shared" si="487"/>
        <v>X</v>
      </c>
      <c r="J587" s="176">
        <f t="shared" si="488"/>
        <v>29.97</v>
      </c>
      <c r="K587" s="178" t="str">
        <f t="shared" si="489"/>
        <v>X</v>
      </c>
      <c r="L587" s="176">
        <f t="shared" si="490"/>
        <v>20.979000000000003</v>
      </c>
      <c r="M587" s="178" t="str">
        <f t="shared" si="491"/>
        <v>X</v>
      </c>
      <c r="N587" s="177">
        <f t="shared" si="492"/>
        <v>8.9909999999999961</v>
      </c>
      <c r="O587" s="178" t="str">
        <f t="shared" si="493"/>
        <v>X</v>
      </c>
      <c r="P587" s="176">
        <f>IF(L587&gt;0,L587,0)</f>
        <v>20.979000000000003</v>
      </c>
      <c r="Q587" s="178" t="s">
        <v>0</v>
      </c>
      <c r="R587" s="176"/>
      <c r="S587" s="178" t="s">
        <v>2578</v>
      </c>
      <c r="T587" s="178" t="str">
        <f t="shared" si="494"/>
        <v>X</v>
      </c>
      <c r="U587" s="176">
        <f t="shared" si="505"/>
        <v>8.9909999999999961</v>
      </c>
      <c r="V587" s="178" t="str">
        <f t="shared" si="495"/>
        <v xml:space="preserve"> </v>
      </c>
      <c r="W587" s="176">
        <f t="shared" si="506"/>
        <v>0</v>
      </c>
      <c r="X587" s="178" t="str">
        <f t="shared" si="496"/>
        <v xml:space="preserve"> </v>
      </c>
      <c r="Y587" s="176">
        <f t="shared" si="507"/>
        <v>0</v>
      </c>
      <c r="Z587" s="178" t="s">
        <v>2581</v>
      </c>
      <c r="AA587" s="178" t="str">
        <f t="shared" si="497"/>
        <v>X</v>
      </c>
      <c r="AB587" s="176">
        <f t="shared" si="498"/>
        <v>5.18</v>
      </c>
      <c r="AC587" s="178" t="str">
        <f t="shared" si="499"/>
        <v xml:space="preserve"> </v>
      </c>
      <c r="AD587" s="176">
        <f t="shared" si="500"/>
        <v>0</v>
      </c>
      <c r="AE587" s="178" t="str">
        <f t="shared" si="501"/>
        <v xml:space="preserve"> </v>
      </c>
      <c r="AF587" s="176">
        <f t="shared" si="502"/>
        <v>0</v>
      </c>
      <c r="AG587" s="178" t="str">
        <f t="shared" si="503"/>
        <v/>
      </c>
      <c r="AH587" s="176">
        <f t="shared" si="504"/>
        <v>0</v>
      </c>
    </row>
    <row r="588" spans="2:34" ht="16.5" outlineLevel="1" x14ac:dyDescent="0.25">
      <c r="B588" s="175" t="s">
        <v>2646</v>
      </c>
      <c r="C588" s="176">
        <v>25.37</v>
      </c>
      <c r="D588" s="176">
        <v>21.11</v>
      </c>
      <c r="E588" s="194">
        <v>3</v>
      </c>
      <c r="F588" s="194">
        <v>0</v>
      </c>
      <c r="G588" s="194">
        <f t="shared" si="486"/>
        <v>3</v>
      </c>
      <c r="H588" s="176"/>
      <c r="I588" s="178" t="str">
        <f t="shared" si="487"/>
        <v>X</v>
      </c>
      <c r="J588" s="176">
        <f t="shared" si="488"/>
        <v>63.33</v>
      </c>
      <c r="K588" s="178" t="str">
        <f t="shared" si="489"/>
        <v xml:space="preserve"> </v>
      </c>
      <c r="L588" s="176">
        <f t="shared" si="490"/>
        <v>0</v>
      </c>
      <c r="M588" s="178" t="str">
        <f t="shared" si="491"/>
        <v>X</v>
      </c>
      <c r="N588" s="177">
        <f t="shared" si="492"/>
        <v>63.33</v>
      </c>
      <c r="O588" s="178" t="str">
        <f t="shared" si="493"/>
        <v xml:space="preserve"> </v>
      </c>
      <c r="P588" s="176">
        <v>1</v>
      </c>
      <c r="Q588" s="178" t="s">
        <v>0</v>
      </c>
      <c r="R588" s="176"/>
      <c r="S588" s="178" t="s">
        <v>2578</v>
      </c>
      <c r="T588" s="178" t="str">
        <f t="shared" si="494"/>
        <v>X</v>
      </c>
      <c r="U588" s="176">
        <f t="shared" si="505"/>
        <v>63.33</v>
      </c>
      <c r="V588" s="178" t="str">
        <f t="shared" si="495"/>
        <v xml:space="preserve"> </v>
      </c>
      <c r="W588" s="176">
        <f t="shared" si="506"/>
        <v>0</v>
      </c>
      <c r="X588" s="178" t="str">
        <f t="shared" si="496"/>
        <v xml:space="preserve"> </v>
      </c>
      <c r="Y588" s="176">
        <f t="shared" si="507"/>
        <v>0</v>
      </c>
      <c r="Z588" s="178" t="s">
        <v>2581</v>
      </c>
      <c r="AA588" s="178" t="str">
        <f t="shared" si="497"/>
        <v>X</v>
      </c>
      <c r="AB588" s="176">
        <f t="shared" si="498"/>
        <v>25.37</v>
      </c>
      <c r="AC588" s="178" t="str">
        <f t="shared" si="499"/>
        <v xml:space="preserve"> </v>
      </c>
      <c r="AD588" s="176">
        <f t="shared" si="500"/>
        <v>0</v>
      </c>
      <c r="AE588" s="178" t="str">
        <f t="shared" si="501"/>
        <v xml:space="preserve"> </v>
      </c>
      <c r="AF588" s="176">
        <f t="shared" si="502"/>
        <v>0</v>
      </c>
      <c r="AG588" s="178" t="str">
        <f t="shared" si="503"/>
        <v>X</v>
      </c>
      <c r="AH588" s="176">
        <f t="shared" si="504"/>
        <v>21.11</v>
      </c>
    </row>
    <row r="589" spans="2:34" ht="16.5" outlineLevel="1" x14ac:dyDescent="0.25">
      <c r="B589" s="175" t="s">
        <v>2647</v>
      </c>
      <c r="C589" s="176">
        <v>5.18</v>
      </c>
      <c r="D589" s="176">
        <v>9.99</v>
      </c>
      <c r="E589" s="194">
        <v>3</v>
      </c>
      <c r="F589" s="194">
        <v>2.1</v>
      </c>
      <c r="G589" s="194">
        <f t="shared" si="486"/>
        <v>0.89999999999999991</v>
      </c>
      <c r="H589" s="176"/>
      <c r="I589" s="178" t="str">
        <f t="shared" si="487"/>
        <v>X</v>
      </c>
      <c r="J589" s="176">
        <f t="shared" si="488"/>
        <v>29.97</v>
      </c>
      <c r="K589" s="178" t="str">
        <f t="shared" si="489"/>
        <v>X</v>
      </c>
      <c r="L589" s="176">
        <f t="shared" si="490"/>
        <v>20.979000000000003</v>
      </c>
      <c r="M589" s="178" t="str">
        <f t="shared" si="491"/>
        <v>X</v>
      </c>
      <c r="N589" s="177">
        <f t="shared" si="492"/>
        <v>8.9909999999999961</v>
      </c>
      <c r="O589" s="178" t="str">
        <f t="shared" si="493"/>
        <v>X</v>
      </c>
      <c r="P589" s="176">
        <f>IF(L589&gt;0,L589,0)</f>
        <v>20.979000000000003</v>
      </c>
      <c r="Q589" s="178" t="s">
        <v>0</v>
      </c>
      <c r="R589" s="176"/>
      <c r="S589" s="178" t="s">
        <v>2578</v>
      </c>
      <c r="T589" s="178" t="str">
        <f t="shared" si="494"/>
        <v>X</v>
      </c>
      <c r="U589" s="176">
        <f t="shared" si="505"/>
        <v>8.9909999999999961</v>
      </c>
      <c r="V589" s="178" t="str">
        <f t="shared" si="495"/>
        <v xml:space="preserve"> </v>
      </c>
      <c r="W589" s="176">
        <f t="shared" si="506"/>
        <v>0</v>
      </c>
      <c r="X589" s="178" t="str">
        <f t="shared" si="496"/>
        <v xml:space="preserve"> </v>
      </c>
      <c r="Y589" s="176">
        <f t="shared" si="507"/>
        <v>0</v>
      </c>
      <c r="Z589" s="178" t="s">
        <v>2581</v>
      </c>
      <c r="AA589" s="178" t="str">
        <f t="shared" si="497"/>
        <v>X</v>
      </c>
      <c r="AB589" s="176">
        <f t="shared" si="498"/>
        <v>5.18</v>
      </c>
      <c r="AC589" s="178" t="str">
        <f t="shared" si="499"/>
        <v xml:space="preserve"> </v>
      </c>
      <c r="AD589" s="176">
        <f t="shared" si="500"/>
        <v>0</v>
      </c>
      <c r="AE589" s="178" t="str">
        <f t="shared" si="501"/>
        <v xml:space="preserve"> </v>
      </c>
      <c r="AF589" s="176">
        <f t="shared" si="502"/>
        <v>0</v>
      </c>
      <c r="AG589" s="178" t="str">
        <f t="shared" si="503"/>
        <v/>
      </c>
      <c r="AH589" s="176">
        <f t="shared" si="504"/>
        <v>0</v>
      </c>
    </row>
    <row r="590" spans="2:34" ht="16.5" outlineLevel="1" x14ac:dyDescent="0.25">
      <c r="B590" s="175" t="s">
        <v>2648</v>
      </c>
      <c r="C590" s="176">
        <v>25.87</v>
      </c>
      <c r="D590" s="176">
        <v>21.32</v>
      </c>
      <c r="E590" s="194">
        <v>3</v>
      </c>
      <c r="F590" s="194">
        <v>0</v>
      </c>
      <c r="G590" s="194">
        <f t="shared" si="486"/>
        <v>3</v>
      </c>
      <c r="H590" s="176"/>
      <c r="I590" s="178" t="str">
        <f t="shared" si="487"/>
        <v>X</v>
      </c>
      <c r="J590" s="176">
        <f t="shared" si="488"/>
        <v>63.96</v>
      </c>
      <c r="K590" s="178" t="str">
        <f t="shared" si="489"/>
        <v xml:space="preserve"> </v>
      </c>
      <c r="L590" s="176">
        <f t="shared" si="490"/>
        <v>0</v>
      </c>
      <c r="M590" s="178" t="str">
        <f t="shared" si="491"/>
        <v>X</v>
      </c>
      <c r="N590" s="177">
        <f t="shared" si="492"/>
        <v>63.96</v>
      </c>
      <c r="O590" s="178" t="str">
        <f t="shared" si="493"/>
        <v xml:space="preserve"> </v>
      </c>
      <c r="P590" s="176">
        <v>1</v>
      </c>
      <c r="Q590" s="178" t="s">
        <v>0</v>
      </c>
      <c r="R590" s="176"/>
      <c r="S590" s="178" t="s">
        <v>2578</v>
      </c>
      <c r="T590" s="178" t="str">
        <f t="shared" si="494"/>
        <v>X</v>
      </c>
      <c r="U590" s="176">
        <f t="shared" si="505"/>
        <v>63.96</v>
      </c>
      <c r="V590" s="178" t="str">
        <f t="shared" si="495"/>
        <v xml:space="preserve"> </v>
      </c>
      <c r="W590" s="176">
        <f t="shared" si="506"/>
        <v>0</v>
      </c>
      <c r="X590" s="178" t="str">
        <f t="shared" si="496"/>
        <v xml:space="preserve"> </v>
      </c>
      <c r="Y590" s="176">
        <f t="shared" si="507"/>
        <v>0</v>
      </c>
      <c r="Z590" s="178" t="s">
        <v>2581</v>
      </c>
      <c r="AA590" s="178" t="str">
        <f t="shared" si="497"/>
        <v>X</v>
      </c>
      <c r="AB590" s="176">
        <f t="shared" si="498"/>
        <v>25.87</v>
      </c>
      <c r="AC590" s="178" t="str">
        <f t="shared" si="499"/>
        <v xml:space="preserve"> </v>
      </c>
      <c r="AD590" s="176">
        <f t="shared" si="500"/>
        <v>0</v>
      </c>
      <c r="AE590" s="178" t="str">
        <f t="shared" si="501"/>
        <v xml:space="preserve"> </v>
      </c>
      <c r="AF590" s="176">
        <f t="shared" si="502"/>
        <v>0</v>
      </c>
      <c r="AG590" s="178" t="str">
        <f t="shared" si="503"/>
        <v>X</v>
      </c>
      <c r="AH590" s="176">
        <f t="shared" si="504"/>
        <v>21.32</v>
      </c>
    </row>
    <row r="591" spans="2:34" ht="16.5" outlineLevel="1" x14ac:dyDescent="0.25">
      <c r="B591" s="175" t="s">
        <v>2649</v>
      </c>
      <c r="C591" s="176">
        <v>5.17</v>
      </c>
      <c r="D591" s="176">
        <v>9.99</v>
      </c>
      <c r="E591" s="194">
        <v>3</v>
      </c>
      <c r="F591" s="194">
        <v>2.1</v>
      </c>
      <c r="G591" s="194">
        <f t="shared" si="486"/>
        <v>0.89999999999999991</v>
      </c>
      <c r="H591" s="176"/>
      <c r="I591" s="178" t="str">
        <f t="shared" si="487"/>
        <v>X</v>
      </c>
      <c r="J591" s="176">
        <f t="shared" si="488"/>
        <v>29.97</v>
      </c>
      <c r="K591" s="178" t="str">
        <f t="shared" si="489"/>
        <v>X</v>
      </c>
      <c r="L591" s="176">
        <f t="shared" si="490"/>
        <v>20.979000000000003</v>
      </c>
      <c r="M591" s="178" t="str">
        <f t="shared" si="491"/>
        <v>X</v>
      </c>
      <c r="N591" s="177">
        <f t="shared" si="492"/>
        <v>8.9909999999999961</v>
      </c>
      <c r="O591" s="178" t="str">
        <f t="shared" si="493"/>
        <v>X</v>
      </c>
      <c r="P591" s="176">
        <f>IF(L591&gt;0,L591,0)</f>
        <v>20.979000000000003</v>
      </c>
      <c r="Q591" s="178" t="s">
        <v>0</v>
      </c>
      <c r="R591" s="176"/>
      <c r="S591" s="178" t="s">
        <v>2578</v>
      </c>
      <c r="T591" s="178" t="str">
        <f t="shared" si="494"/>
        <v>X</v>
      </c>
      <c r="U591" s="176">
        <f t="shared" si="505"/>
        <v>8.9909999999999961</v>
      </c>
      <c r="V591" s="178" t="str">
        <f t="shared" si="495"/>
        <v xml:space="preserve"> </v>
      </c>
      <c r="W591" s="176">
        <f t="shared" si="506"/>
        <v>0</v>
      </c>
      <c r="X591" s="178" t="str">
        <f t="shared" si="496"/>
        <v xml:space="preserve"> </v>
      </c>
      <c r="Y591" s="176">
        <f t="shared" si="507"/>
        <v>0</v>
      </c>
      <c r="Z591" s="178" t="s">
        <v>2581</v>
      </c>
      <c r="AA591" s="178" t="str">
        <f t="shared" si="497"/>
        <v>X</v>
      </c>
      <c r="AB591" s="176">
        <f t="shared" si="498"/>
        <v>5.17</v>
      </c>
      <c r="AC591" s="178" t="str">
        <f t="shared" si="499"/>
        <v xml:space="preserve"> </v>
      </c>
      <c r="AD591" s="176">
        <f t="shared" si="500"/>
        <v>0</v>
      </c>
      <c r="AE591" s="178" t="str">
        <f t="shared" si="501"/>
        <v xml:space="preserve"> </v>
      </c>
      <c r="AF591" s="176">
        <f t="shared" si="502"/>
        <v>0</v>
      </c>
      <c r="AG591" s="178" t="str">
        <f t="shared" si="503"/>
        <v/>
      </c>
      <c r="AH591" s="176">
        <f t="shared" si="504"/>
        <v>0</v>
      </c>
    </row>
    <row r="592" spans="2:34" ht="16.5" outlineLevel="1" x14ac:dyDescent="0.25">
      <c r="B592" s="175" t="s">
        <v>2594</v>
      </c>
      <c r="C592" s="176">
        <v>62.86</v>
      </c>
      <c r="D592" s="176">
        <v>63.1</v>
      </c>
      <c r="E592" s="194">
        <v>3</v>
      </c>
      <c r="F592" s="194">
        <v>0</v>
      </c>
      <c r="G592" s="194">
        <f t="shared" si="486"/>
        <v>3</v>
      </c>
      <c r="H592" s="176"/>
      <c r="I592" s="178" t="str">
        <f t="shared" si="487"/>
        <v>X</v>
      </c>
      <c r="J592" s="176">
        <f t="shared" si="488"/>
        <v>189.3</v>
      </c>
      <c r="K592" s="178" t="str">
        <f t="shared" si="489"/>
        <v xml:space="preserve"> </v>
      </c>
      <c r="L592" s="176">
        <f t="shared" si="490"/>
        <v>0</v>
      </c>
      <c r="M592" s="178" t="str">
        <f t="shared" si="491"/>
        <v>X</v>
      </c>
      <c r="N592" s="177">
        <f t="shared" si="492"/>
        <v>189.3</v>
      </c>
      <c r="O592" s="178" t="str">
        <f t="shared" si="493"/>
        <v xml:space="preserve"> </v>
      </c>
      <c r="P592" s="176">
        <f>IF(L592&gt;0,L592,0)</f>
        <v>0</v>
      </c>
      <c r="Q592" s="178" t="s">
        <v>0</v>
      </c>
      <c r="R592" s="176"/>
      <c r="S592" s="178" t="s">
        <v>2578</v>
      </c>
      <c r="T592" s="178" t="str">
        <f t="shared" si="494"/>
        <v>X</v>
      </c>
      <c r="U592" s="176">
        <f t="shared" si="505"/>
        <v>189.3</v>
      </c>
      <c r="V592" s="178" t="str">
        <f t="shared" si="495"/>
        <v xml:space="preserve"> </v>
      </c>
      <c r="W592" s="176">
        <f t="shared" si="506"/>
        <v>0</v>
      </c>
      <c r="X592" s="178" t="str">
        <f t="shared" si="496"/>
        <v xml:space="preserve"> </v>
      </c>
      <c r="Y592" s="176">
        <f t="shared" si="507"/>
        <v>0</v>
      </c>
      <c r="Z592" s="178" t="s">
        <v>2582</v>
      </c>
      <c r="AA592" s="178" t="str">
        <f t="shared" si="497"/>
        <v xml:space="preserve"> </v>
      </c>
      <c r="AB592" s="176">
        <f t="shared" si="498"/>
        <v>0</v>
      </c>
      <c r="AC592" s="178" t="str">
        <f t="shared" si="499"/>
        <v>X</v>
      </c>
      <c r="AD592" s="176">
        <f t="shared" si="500"/>
        <v>62.86</v>
      </c>
      <c r="AE592" s="178" t="str">
        <f t="shared" si="501"/>
        <v xml:space="preserve"> </v>
      </c>
      <c r="AF592" s="176">
        <f t="shared" si="502"/>
        <v>0</v>
      </c>
      <c r="AG592" s="178" t="str">
        <f t="shared" si="503"/>
        <v>X</v>
      </c>
      <c r="AH592" s="176">
        <f t="shared" si="504"/>
        <v>63.1</v>
      </c>
    </row>
    <row r="593" spans="2:34" ht="16.5" outlineLevel="1" x14ac:dyDescent="0.25">
      <c r="B593" s="175" t="s">
        <v>2651</v>
      </c>
      <c r="C593" s="176">
        <v>27.41</v>
      </c>
      <c r="D593" s="176">
        <v>21.75</v>
      </c>
      <c r="E593" s="194">
        <v>3</v>
      </c>
      <c r="F593" s="194">
        <v>0</v>
      </c>
      <c r="G593" s="194">
        <f t="shared" si="486"/>
        <v>3</v>
      </c>
      <c r="H593" s="176"/>
      <c r="I593" s="178" t="str">
        <f t="shared" si="487"/>
        <v>X</v>
      </c>
      <c r="J593" s="176">
        <f t="shared" si="488"/>
        <v>65.25</v>
      </c>
      <c r="K593" s="178" t="str">
        <f t="shared" si="489"/>
        <v xml:space="preserve"> </v>
      </c>
      <c r="L593" s="176">
        <f t="shared" si="490"/>
        <v>0</v>
      </c>
      <c r="M593" s="178" t="str">
        <f t="shared" si="491"/>
        <v>X</v>
      </c>
      <c r="N593" s="177">
        <f t="shared" si="492"/>
        <v>65.25</v>
      </c>
      <c r="O593" s="178" t="str">
        <f t="shared" si="493"/>
        <v xml:space="preserve"> </v>
      </c>
      <c r="P593" s="176">
        <v>1</v>
      </c>
      <c r="Q593" s="178" t="s">
        <v>0</v>
      </c>
      <c r="R593" s="176"/>
      <c r="S593" s="178" t="s">
        <v>2578</v>
      </c>
      <c r="T593" s="178" t="str">
        <f t="shared" si="494"/>
        <v>X</v>
      </c>
      <c r="U593" s="176">
        <f t="shared" si="505"/>
        <v>65.25</v>
      </c>
      <c r="V593" s="178" t="str">
        <f t="shared" si="495"/>
        <v xml:space="preserve"> </v>
      </c>
      <c r="W593" s="176">
        <f t="shared" si="506"/>
        <v>0</v>
      </c>
      <c r="X593" s="178" t="str">
        <f t="shared" si="496"/>
        <v xml:space="preserve"> </v>
      </c>
      <c r="Y593" s="176">
        <f t="shared" si="507"/>
        <v>0</v>
      </c>
      <c r="Z593" s="178" t="s">
        <v>2581</v>
      </c>
      <c r="AA593" s="178" t="str">
        <f t="shared" si="497"/>
        <v>X</v>
      </c>
      <c r="AB593" s="176">
        <f t="shared" si="498"/>
        <v>27.41</v>
      </c>
      <c r="AC593" s="178" t="str">
        <f t="shared" si="499"/>
        <v xml:space="preserve"> </v>
      </c>
      <c r="AD593" s="176">
        <f t="shared" si="500"/>
        <v>0</v>
      </c>
      <c r="AE593" s="178" t="str">
        <f t="shared" si="501"/>
        <v xml:space="preserve"> </v>
      </c>
      <c r="AF593" s="176">
        <f t="shared" si="502"/>
        <v>0</v>
      </c>
      <c r="AG593" s="178" t="str">
        <f t="shared" si="503"/>
        <v>X</v>
      </c>
      <c r="AH593" s="176">
        <f t="shared" si="504"/>
        <v>21.75</v>
      </c>
    </row>
    <row r="594" spans="2:34" ht="16.5" outlineLevel="1" x14ac:dyDescent="0.25">
      <c r="B594" s="175" t="s">
        <v>2652</v>
      </c>
      <c r="C594" s="176">
        <v>5.18</v>
      </c>
      <c r="D594" s="176">
        <v>9.99</v>
      </c>
      <c r="E594" s="194">
        <v>3</v>
      </c>
      <c r="F594" s="194">
        <v>2.1</v>
      </c>
      <c r="G594" s="194">
        <f t="shared" si="486"/>
        <v>0.89999999999999991</v>
      </c>
      <c r="H594" s="176"/>
      <c r="I594" s="178" t="str">
        <f t="shared" si="487"/>
        <v>X</v>
      </c>
      <c r="J594" s="176">
        <f t="shared" si="488"/>
        <v>29.97</v>
      </c>
      <c r="K594" s="178" t="str">
        <f t="shared" si="489"/>
        <v>X</v>
      </c>
      <c r="L594" s="176">
        <f t="shared" si="490"/>
        <v>20.979000000000003</v>
      </c>
      <c r="M594" s="178" t="str">
        <f t="shared" si="491"/>
        <v>X</v>
      </c>
      <c r="N594" s="177">
        <f t="shared" si="492"/>
        <v>8.9909999999999961</v>
      </c>
      <c r="O594" s="178" t="str">
        <f t="shared" si="493"/>
        <v>X</v>
      </c>
      <c r="P594" s="176">
        <f>IF(L594&gt;0,L594,0)</f>
        <v>20.979000000000003</v>
      </c>
      <c r="Q594" s="178" t="s">
        <v>0</v>
      </c>
      <c r="R594" s="176"/>
      <c r="S594" s="178" t="s">
        <v>2578</v>
      </c>
      <c r="T594" s="178" t="str">
        <f t="shared" si="494"/>
        <v>X</v>
      </c>
      <c r="U594" s="176">
        <f t="shared" si="505"/>
        <v>8.9909999999999961</v>
      </c>
      <c r="V594" s="178" t="str">
        <f t="shared" si="495"/>
        <v xml:space="preserve"> </v>
      </c>
      <c r="W594" s="176">
        <f t="shared" si="506"/>
        <v>0</v>
      </c>
      <c r="X594" s="178" t="str">
        <f t="shared" si="496"/>
        <v xml:space="preserve"> </v>
      </c>
      <c r="Y594" s="176">
        <f t="shared" si="507"/>
        <v>0</v>
      </c>
      <c r="Z594" s="178" t="s">
        <v>2581</v>
      </c>
      <c r="AA594" s="178" t="str">
        <f t="shared" si="497"/>
        <v>X</v>
      </c>
      <c r="AB594" s="176">
        <f t="shared" si="498"/>
        <v>5.18</v>
      </c>
      <c r="AC594" s="178" t="str">
        <f t="shared" si="499"/>
        <v xml:space="preserve"> </v>
      </c>
      <c r="AD594" s="176">
        <f t="shared" si="500"/>
        <v>0</v>
      </c>
      <c r="AE594" s="178" t="str">
        <f t="shared" si="501"/>
        <v xml:space="preserve"> </v>
      </c>
      <c r="AF594" s="176">
        <f t="shared" si="502"/>
        <v>0</v>
      </c>
      <c r="AG594" s="178" t="str">
        <f t="shared" si="503"/>
        <v/>
      </c>
      <c r="AH594" s="176">
        <f t="shared" si="504"/>
        <v>0</v>
      </c>
    </row>
    <row r="595" spans="2:34" ht="16.5" outlineLevel="1" x14ac:dyDescent="0.25">
      <c r="B595" s="175" t="s">
        <v>2678</v>
      </c>
      <c r="C595" s="176">
        <v>5.71</v>
      </c>
      <c r="D595" s="176">
        <v>10.6</v>
      </c>
      <c r="E595" s="194">
        <v>3</v>
      </c>
      <c r="F595" s="194">
        <v>2.1</v>
      </c>
      <c r="G595" s="194">
        <f t="shared" si="486"/>
        <v>0.89999999999999991</v>
      </c>
      <c r="H595" s="176"/>
      <c r="I595" s="178" t="str">
        <f t="shared" si="487"/>
        <v>X</v>
      </c>
      <c r="J595" s="176">
        <f t="shared" si="488"/>
        <v>31.799999999999997</v>
      </c>
      <c r="K595" s="178" t="str">
        <f t="shared" si="489"/>
        <v>X</v>
      </c>
      <c r="L595" s="176">
        <f t="shared" si="490"/>
        <v>22.26</v>
      </c>
      <c r="M595" s="178" t="str">
        <f t="shared" si="491"/>
        <v>X</v>
      </c>
      <c r="N595" s="177">
        <f t="shared" si="492"/>
        <v>9.5399999999999956</v>
      </c>
      <c r="O595" s="178" t="str">
        <f t="shared" si="493"/>
        <v>X</v>
      </c>
      <c r="P595" s="176">
        <f>IF(L595&gt;0,L595,0)</f>
        <v>22.26</v>
      </c>
      <c r="Q595" s="178" t="s">
        <v>0</v>
      </c>
      <c r="R595" s="176"/>
      <c r="S595" s="178" t="s">
        <v>2578</v>
      </c>
      <c r="T595" s="178" t="str">
        <f t="shared" si="494"/>
        <v>X</v>
      </c>
      <c r="U595" s="176">
        <f t="shared" si="505"/>
        <v>9.5399999999999956</v>
      </c>
      <c r="V595" s="178" t="str">
        <f t="shared" si="495"/>
        <v xml:space="preserve"> </v>
      </c>
      <c r="W595" s="176">
        <f t="shared" si="506"/>
        <v>0</v>
      </c>
      <c r="X595" s="178" t="str">
        <f t="shared" si="496"/>
        <v xml:space="preserve"> </v>
      </c>
      <c r="Y595" s="176">
        <f t="shared" si="507"/>
        <v>0</v>
      </c>
      <c r="Z595" s="178" t="s">
        <v>2581</v>
      </c>
      <c r="AA595" s="178" t="str">
        <f t="shared" si="497"/>
        <v>X</v>
      </c>
      <c r="AB595" s="176">
        <f t="shared" si="498"/>
        <v>5.71</v>
      </c>
      <c r="AC595" s="178" t="str">
        <f t="shared" si="499"/>
        <v xml:space="preserve"> </v>
      </c>
      <c r="AD595" s="176">
        <f t="shared" si="500"/>
        <v>0</v>
      </c>
      <c r="AE595" s="178" t="str">
        <f t="shared" si="501"/>
        <v xml:space="preserve"> </v>
      </c>
      <c r="AF595" s="176">
        <f t="shared" si="502"/>
        <v>0</v>
      </c>
      <c r="AG595" s="178" t="str">
        <f t="shared" si="503"/>
        <v/>
      </c>
      <c r="AH595" s="176">
        <f t="shared" si="504"/>
        <v>0</v>
      </c>
    </row>
    <row r="596" spans="2:34" ht="16.5" outlineLevel="1" x14ac:dyDescent="0.25">
      <c r="B596" s="175" t="s">
        <v>2838</v>
      </c>
      <c r="C596" s="176">
        <v>10.69</v>
      </c>
      <c r="D596" s="176">
        <v>14.12</v>
      </c>
      <c r="E596" s="194">
        <v>3</v>
      </c>
      <c r="F596" s="194">
        <v>2.1</v>
      </c>
      <c r="G596" s="194">
        <f t="shared" si="486"/>
        <v>0.89999999999999991</v>
      </c>
      <c r="H596" s="176"/>
      <c r="I596" s="178" t="str">
        <f t="shared" si="487"/>
        <v>X</v>
      </c>
      <c r="J596" s="176">
        <f t="shared" si="488"/>
        <v>42.36</v>
      </c>
      <c r="K596" s="178" t="str">
        <f t="shared" si="489"/>
        <v>X</v>
      </c>
      <c r="L596" s="176">
        <f t="shared" si="490"/>
        <v>29.652000000000001</v>
      </c>
      <c r="M596" s="178" t="str">
        <f t="shared" si="491"/>
        <v>X</v>
      </c>
      <c r="N596" s="177">
        <f t="shared" si="492"/>
        <v>12.707999999999998</v>
      </c>
      <c r="O596" s="178" t="str">
        <f t="shared" si="493"/>
        <v>X</v>
      </c>
      <c r="P596" s="176">
        <f>IF(L596&gt;0,L596,0)</f>
        <v>29.652000000000001</v>
      </c>
      <c r="Q596" s="178" t="s">
        <v>0</v>
      </c>
      <c r="R596" s="176"/>
      <c r="S596" s="178" t="s">
        <v>2578</v>
      </c>
      <c r="T596" s="178" t="str">
        <f t="shared" si="494"/>
        <v>X</v>
      </c>
      <c r="U596" s="176">
        <f t="shared" si="505"/>
        <v>12.707999999999998</v>
      </c>
      <c r="V596" s="178" t="str">
        <f t="shared" si="495"/>
        <v xml:space="preserve"> </v>
      </c>
      <c r="W596" s="176">
        <f t="shared" si="506"/>
        <v>0</v>
      </c>
      <c r="X596" s="178" t="str">
        <f t="shared" si="496"/>
        <v xml:space="preserve"> </v>
      </c>
      <c r="Y596" s="176">
        <f t="shared" si="507"/>
        <v>0</v>
      </c>
      <c r="Z596" s="178" t="s">
        <v>2581</v>
      </c>
      <c r="AA596" s="178" t="str">
        <f t="shared" si="497"/>
        <v>X</v>
      </c>
      <c r="AB596" s="176">
        <f t="shared" si="498"/>
        <v>10.69</v>
      </c>
      <c r="AC596" s="178" t="str">
        <f t="shared" si="499"/>
        <v xml:space="preserve"> </v>
      </c>
      <c r="AD596" s="176">
        <f t="shared" si="500"/>
        <v>0</v>
      </c>
      <c r="AE596" s="178" t="str">
        <f t="shared" si="501"/>
        <v xml:space="preserve"> </v>
      </c>
      <c r="AF596" s="176">
        <f t="shared" si="502"/>
        <v>0</v>
      </c>
      <c r="AG596" s="178" t="str">
        <f t="shared" si="503"/>
        <v/>
      </c>
      <c r="AH596" s="176">
        <f t="shared" si="504"/>
        <v>0</v>
      </c>
    </row>
    <row r="597" spans="2:34" ht="16.5" outlineLevel="1" x14ac:dyDescent="0.25">
      <c r="B597" s="175" t="s">
        <v>2655</v>
      </c>
      <c r="C597" s="176">
        <v>7.24</v>
      </c>
      <c r="D597" s="176">
        <v>10.91</v>
      </c>
      <c r="E597" s="194">
        <v>3</v>
      </c>
      <c r="F597" s="194">
        <v>0</v>
      </c>
      <c r="G597" s="194">
        <f t="shared" si="486"/>
        <v>3</v>
      </c>
      <c r="H597" s="176"/>
      <c r="I597" s="178" t="str">
        <f t="shared" si="487"/>
        <v>X</v>
      </c>
      <c r="J597" s="176">
        <f t="shared" si="488"/>
        <v>32.730000000000004</v>
      </c>
      <c r="K597" s="178" t="str">
        <f t="shared" si="489"/>
        <v xml:space="preserve"> </v>
      </c>
      <c r="L597" s="176">
        <f t="shared" si="490"/>
        <v>0</v>
      </c>
      <c r="M597" s="178" t="str">
        <f t="shared" si="491"/>
        <v>X</v>
      </c>
      <c r="N597" s="177">
        <f t="shared" si="492"/>
        <v>32.730000000000004</v>
      </c>
      <c r="O597" s="178" t="str">
        <f t="shared" si="493"/>
        <v xml:space="preserve"> </v>
      </c>
      <c r="P597" s="176">
        <f>IF(L597&gt;0,L597,0)</f>
        <v>0</v>
      </c>
      <c r="Q597" s="178" t="s">
        <v>0</v>
      </c>
      <c r="R597" s="176"/>
      <c r="S597" s="178" t="s">
        <v>2578</v>
      </c>
      <c r="T597" s="178" t="str">
        <f t="shared" si="494"/>
        <v>X</v>
      </c>
      <c r="U597" s="176">
        <f t="shared" si="505"/>
        <v>32.730000000000004</v>
      </c>
      <c r="V597" s="178" t="str">
        <f t="shared" si="495"/>
        <v xml:space="preserve"> </v>
      </c>
      <c r="W597" s="176">
        <f t="shared" si="506"/>
        <v>0</v>
      </c>
      <c r="X597" s="178" t="str">
        <f t="shared" si="496"/>
        <v xml:space="preserve"> </v>
      </c>
      <c r="Y597" s="176">
        <f t="shared" si="507"/>
        <v>0</v>
      </c>
      <c r="Z597" s="178" t="s">
        <v>2581</v>
      </c>
      <c r="AA597" s="178" t="str">
        <f t="shared" si="497"/>
        <v>X</v>
      </c>
      <c r="AB597" s="176">
        <f t="shared" si="498"/>
        <v>7.24</v>
      </c>
      <c r="AC597" s="178" t="str">
        <f t="shared" si="499"/>
        <v xml:space="preserve"> </v>
      </c>
      <c r="AD597" s="176">
        <f t="shared" si="500"/>
        <v>0</v>
      </c>
      <c r="AE597" s="178" t="str">
        <f t="shared" si="501"/>
        <v xml:space="preserve"> </v>
      </c>
      <c r="AF597" s="176">
        <f t="shared" si="502"/>
        <v>0</v>
      </c>
      <c r="AG597" s="178" t="str">
        <f t="shared" si="503"/>
        <v>X</v>
      </c>
      <c r="AH597" s="176">
        <f t="shared" si="504"/>
        <v>10.91</v>
      </c>
    </row>
    <row r="598" spans="2:34" ht="16.5" outlineLevel="1" x14ac:dyDescent="0.25">
      <c r="B598" s="175" t="s">
        <v>2822</v>
      </c>
      <c r="C598" s="176">
        <v>7.29</v>
      </c>
      <c r="D598" s="176">
        <v>10.91</v>
      </c>
      <c r="E598" s="194">
        <v>3</v>
      </c>
      <c r="F598" s="194">
        <v>0</v>
      </c>
      <c r="G598" s="194">
        <f t="shared" si="486"/>
        <v>3</v>
      </c>
      <c r="H598" s="176"/>
      <c r="I598" s="178" t="str">
        <f t="shared" si="487"/>
        <v>X</v>
      </c>
      <c r="J598" s="176">
        <f t="shared" si="488"/>
        <v>32.730000000000004</v>
      </c>
      <c r="K598" s="178" t="str">
        <f t="shared" si="489"/>
        <v xml:space="preserve"> </v>
      </c>
      <c r="L598" s="176">
        <f t="shared" si="490"/>
        <v>0</v>
      </c>
      <c r="M598" s="178" t="str">
        <f t="shared" si="491"/>
        <v>X</v>
      </c>
      <c r="N598" s="177">
        <f t="shared" si="492"/>
        <v>32.730000000000004</v>
      </c>
      <c r="O598" s="178" t="str">
        <f t="shared" si="493"/>
        <v xml:space="preserve"> </v>
      </c>
      <c r="P598" s="176">
        <f>IF(L598&gt;0,L598,0)</f>
        <v>0</v>
      </c>
      <c r="Q598" s="178" t="s">
        <v>0</v>
      </c>
      <c r="R598" s="176"/>
      <c r="S598" s="178" t="s">
        <v>2578</v>
      </c>
      <c r="T598" s="178" t="str">
        <f t="shared" si="494"/>
        <v>X</v>
      </c>
      <c r="U598" s="176">
        <f t="shared" si="505"/>
        <v>32.730000000000004</v>
      </c>
      <c r="V598" s="178" t="str">
        <f t="shared" si="495"/>
        <v xml:space="preserve"> </v>
      </c>
      <c r="W598" s="176">
        <f t="shared" si="506"/>
        <v>0</v>
      </c>
      <c r="X598" s="178" t="str">
        <f t="shared" si="496"/>
        <v xml:space="preserve"> </v>
      </c>
      <c r="Y598" s="176">
        <f t="shared" si="507"/>
        <v>0</v>
      </c>
      <c r="Z598" s="178" t="s">
        <v>2581</v>
      </c>
      <c r="AA598" s="178" t="str">
        <f t="shared" si="497"/>
        <v>X</v>
      </c>
      <c r="AB598" s="176">
        <f t="shared" si="498"/>
        <v>7.29</v>
      </c>
      <c r="AC598" s="178" t="str">
        <f t="shared" si="499"/>
        <v xml:space="preserve"> </v>
      </c>
      <c r="AD598" s="176">
        <f t="shared" si="500"/>
        <v>0</v>
      </c>
      <c r="AE598" s="178" t="str">
        <f t="shared" si="501"/>
        <v xml:space="preserve"> </v>
      </c>
      <c r="AF598" s="176">
        <f t="shared" si="502"/>
        <v>0</v>
      </c>
      <c r="AG598" s="178" t="str">
        <f t="shared" si="503"/>
        <v>X</v>
      </c>
      <c r="AH598" s="176">
        <f t="shared" si="504"/>
        <v>10.91</v>
      </c>
    </row>
    <row r="599" spans="2:34" ht="16.5" outlineLevel="1" x14ac:dyDescent="0.25">
      <c r="B599" s="175" t="s">
        <v>2730</v>
      </c>
      <c r="C599" s="176">
        <v>14.66</v>
      </c>
      <c r="D599" s="176">
        <v>15.62</v>
      </c>
      <c r="E599" s="194">
        <v>3</v>
      </c>
      <c r="F599" s="194">
        <v>0</v>
      </c>
      <c r="G599" s="194">
        <f t="shared" si="486"/>
        <v>3</v>
      </c>
      <c r="H599" s="176">
        <v>1.56</v>
      </c>
      <c r="I599" s="178" t="str">
        <f t="shared" si="487"/>
        <v>X</v>
      </c>
      <c r="J599" s="176">
        <f t="shared" si="488"/>
        <v>42.179999999999993</v>
      </c>
      <c r="K599" s="178" t="str">
        <f t="shared" si="489"/>
        <v xml:space="preserve"> </v>
      </c>
      <c r="L599" s="176">
        <f t="shared" si="490"/>
        <v>0</v>
      </c>
      <c r="M599" s="178" t="str">
        <f t="shared" si="491"/>
        <v>X</v>
      </c>
      <c r="N599" s="177">
        <f t="shared" si="492"/>
        <v>42.179999999999993</v>
      </c>
      <c r="O599" s="178" t="str">
        <f t="shared" si="493"/>
        <v xml:space="preserve"> </v>
      </c>
      <c r="P599" s="176">
        <v>1</v>
      </c>
      <c r="Q599" s="178" t="s">
        <v>0</v>
      </c>
      <c r="R599" s="176"/>
      <c r="S599" s="178" t="s">
        <v>2578</v>
      </c>
      <c r="T599" s="178" t="str">
        <f t="shared" si="494"/>
        <v>X</v>
      </c>
      <c r="U599" s="176">
        <f t="shared" si="505"/>
        <v>42.179999999999993</v>
      </c>
      <c r="V599" s="178" t="str">
        <f t="shared" si="495"/>
        <v xml:space="preserve"> </v>
      </c>
      <c r="W599" s="176">
        <f t="shared" si="506"/>
        <v>0</v>
      </c>
      <c r="X599" s="178" t="str">
        <f t="shared" si="496"/>
        <v xml:space="preserve"> </v>
      </c>
      <c r="Y599" s="176">
        <f t="shared" si="507"/>
        <v>0</v>
      </c>
      <c r="Z599" s="178" t="s">
        <v>2582</v>
      </c>
      <c r="AA599" s="178" t="str">
        <f t="shared" si="497"/>
        <v xml:space="preserve"> </v>
      </c>
      <c r="AB599" s="176">
        <f t="shared" si="498"/>
        <v>0</v>
      </c>
      <c r="AC599" s="178" t="str">
        <f t="shared" si="499"/>
        <v>X</v>
      </c>
      <c r="AD599" s="176">
        <f t="shared" si="500"/>
        <v>14.66</v>
      </c>
      <c r="AE599" s="178" t="str">
        <f t="shared" si="501"/>
        <v xml:space="preserve"> </v>
      </c>
      <c r="AF599" s="176">
        <f t="shared" si="502"/>
        <v>0</v>
      </c>
      <c r="AG599" s="178" t="str">
        <f t="shared" si="503"/>
        <v>X</v>
      </c>
      <c r="AH599" s="176">
        <f t="shared" si="504"/>
        <v>14.059999999999999</v>
      </c>
    </row>
    <row r="600" spans="2:34" ht="16.5" outlineLevel="1" x14ac:dyDescent="0.25">
      <c r="B600" s="175" t="s">
        <v>2666</v>
      </c>
      <c r="C600" s="176">
        <v>4.0999999999999996</v>
      </c>
      <c r="D600" s="176">
        <v>8.6999999999999993</v>
      </c>
      <c r="E600" s="194">
        <v>3</v>
      </c>
      <c r="F600" s="194">
        <v>2.1</v>
      </c>
      <c r="G600" s="194">
        <f t="shared" si="486"/>
        <v>0.89999999999999991</v>
      </c>
      <c r="H600" s="176"/>
      <c r="I600" s="178" t="str">
        <f t="shared" si="487"/>
        <v>X</v>
      </c>
      <c r="J600" s="176">
        <f t="shared" si="488"/>
        <v>26.099999999999998</v>
      </c>
      <c r="K600" s="178" t="str">
        <f t="shared" si="489"/>
        <v>X</v>
      </c>
      <c r="L600" s="176">
        <f t="shared" si="490"/>
        <v>18.27</v>
      </c>
      <c r="M600" s="178" t="str">
        <f t="shared" si="491"/>
        <v>X</v>
      </c>
      <c r="N600" s="177">
        <f t="shared" si="492"/>
        <v>7.8299999999999983</v>
      </c>
      <c r="O600" s="178" t="str">
        <f t="shared" si="493"/>
        <v>X</v>
      </c>
      <c r="P600" s="176">
        <f>IF(L600&gt;0,L600,0)</f>
        <v>18.27</v>
      </c>
      <c r="Q600" s="178" t="s">
        <v>0</v>
      </c>
      <c r="R600" s="176"/>
      <c r="S600" s="178" t="s">
        <v>2578</v>
      </c>
      <c r="T600" s="178" t="str">
        <f t="shared" si="494"/>
        <v>X</v>
      </c>
      <c r="U600" s="176">
        <f t="shared" si="505"/>
        <v>7.8299999999999983</v>
      </c>
      <c r="V600" s="178" t="str">
        <f t="shared" si="495"/>
        <v xml:space="preserve"> </v>
      </c>
      <c r="W600" s="176">
        <f t="shared" si="506"/>
        <v>0</v>
      </c>
      <c r="X600" s="178" t="str">
        <f t="shared" si="496"/>
        <v xml:space="preserve"> </v>
      </c>
      <c r="Y600" s="176">
        <f t="shared" si="507"/>
        <v>0</v>
      </c>
      <c r="Z600" s="178" t="s">
        <v>2581</v>
      </c>
      <c r="AA600" s="178" t="str">
        <f t="shared" si="497"/>
        <v>X</v>
      </c>
      <c r="AB600" s="176">
        <f t="shared" si="498"/>
        <v>4.0999999999999996</v>
      </c>
      <c r="AC600" s="178" t="str">
        <f t="shared" si="499"/>
        <v xml:space="preserve"> </v>
      </c>
      <c r="AD600" s="176">
        <f t="shared" si="500"/>
        <v>0</v>
      </c>
      <c r="AE600" s="178" t="str">
        <f t="shared" si="501"/>
        <v xml:space="preserve"> </v>
      </c>
      <c r="AF600" s="176">
        <f t="shared" si="502"/>
        <v>0</v>
      </c>
      <c r="AG600" s="178" t="str">
        <f t="shared" si="503"/>
        <v/>
      </c>
      <c r="AH600" s="176">
        <f t="shared" si="504"/>
        <v>0</v>
      </c>
    </row>
    <row r="601" spans="2:34" ht="16.5" outlineLevel="1" x14ac:dyDescent="0.25">
      <c r="B601" s="175" t="s">
        <v>2591</v>
      </c>
      <c r="C601" s="176">
        <v>3.15</v>
      </c>
      <c r="D601" s="176">
        <v>7.1</v>
      </c>
      <c r="E601" s="194">
        <v>3</v>
      </c>
      <c r="F601" s="194">
        <v>2.1</v>
      </c>
      <c r="G601" s="194">
        <f t="shared" si="486"/>
        <v>0.89999999999999991</v>
      </c>
      <c r="H601" s="176"/>
      <c r="I601" s="178" t="str">
        <f t="shared" si="487"/>
        <v>X</v>
      </c>
      <c r="J601" s="176">
        <f t="shared" si="488"/>
        <v>21.299999999999997</v>
      </c>
      <c r="K601" s="178" t="str">
        <f t="shared" si="489"/>
        <v>X</v>
      </c>
      <c r="L601" s="176">
        <f t="shared" si="490"/>
        <v>14.91</v>
      </c>
      <c r="M601" s="178" t="str">
        <f t="shared" si="491"/>
        <v>X</v>
      </c>
      <c r="N601" s="177">
        <f t="shared" si="492"/>
        <v>6.389999999999997</v>
      </c>
      <c r="O601" s="178" t="str">
        <f t="shared" si="493"/>
        <v>X</v>
      </c>
      <c r="P601" s="176">
        <f>IF(L601&gt;0,L601,0)</f>
        <v>14.91</v>
      </c>
      <c r="Q601" s="178" t="s">
        <v>0</v>
      </c>
      <c r="R601" s="176"/>
      <c r="S601" s="178" t="s">
        <v>2578</v>
      </c>
      <c r="T601" s="178" t="str">
        <f t="shared" si="494"/>
        <v>X</v>
      </c>
      <c r="U601" s="176">
        <f t="shared" si="505"/>
        <v>6.389999999999997</v>
      </c>
      <c r="V601" s="178" t="str">
        <f t="shared" si="495"/>
        <v xml:space="preserve"> </v>
      </c>
      <c r="W601" s="176">
        <f t="shared" si="506"/>
        <v>0</v>
      </c>
      <c r="X601" s="178" t="str">
        <f t="shared" si="496"/>
        <v xml:space="preserve"> </v>
      </c>
      <c r="Y601" s="176">
        <f t="shared" si="507"/>
        <v>0</v>
      </c>
      <c r="Z601" s="178" t="s">
        <v>2581</v>
      </c>
      <c r="AA601" s="178" t="str">
        <f t="shared" si="497"/>
        <v>X</v>
      </c>
      <c r="AB601" s="176">
        <f t="shared" si="498"/>
        <v>3.15</v>
      </c>
      <c r="AC601" s="178" t="str">
        <f t="shared" si="499"/>
        <v xml:space="preserve"> </v>
      </c>
      <c r="AD601" s="176">
        <f t="shared" si="500"/>
        <v>0</v>
      </c>
      <c r="AE601" s="178" t="str">
        <f t="shared" si="501"/>
        <v xml:space="preserve"> </v>
      </c>
      <c r="AF601" s="176">
        <f t="shared" si="502"/>
        <v>0</v>
      </c>
      <c r="AG601" s="178" t="str">
        <f t="shared" si="503"/>
        <v/>
      </c>
      <c r="AH601" s="176">
        <f t="shared" si="504"/>
        <v>0</v>
      </c>
    </row>
    <row r="602" spans="2:34" ht="16.5" outlineLevel="1" x14ac:dyDescent="0.25">
      <c r="B602" s="175" t="s">
        <v>2657</v>
      </c>
      <c r="C602" s="176">
        <v>27.96</v>
      </c>
      <c r="D602" s="176">
        <v>22.01</v>
      </c>
      <c r="E602" s="194">
        <v>3</v>
      </c>
      <c r="F602" s="194">
        <v>0</v>
      </c>
      <c r="G602" s="194">
        <f t="shared" si="486"/>
        <v>3</v>
      </c>
      <c r="H602" s="176"/>
      <c r="I602" s="178" t="str">
        <f t="shared" si="487"/>
        <v>X</v>
      </c>
      <c r="J602" s="176">
        <f t="shared" si="488"/>
        <v>66.03</v>
      </c>
      <c r="K602" s="178" t="str">
        <f t="shared" si="489"/>
        <v xml:space="preserve"> </v>
      </c>
      <c r="L602" s="176">
        <f t="shared" si="490"/>
        <v>0</v>
      </c>
      <c r="M602" s="178" t="str">
        <f t="shared" si="491"/>
        <v>X</v>
      </c>
      <c r="N602" s="177">
        <f t="shared" si="492"/>
        <v>66.03</v>
      </c>
      <c r="O602" s="178" t="str">
        <f t="shared" si="493"/>
        <v xml:space="preserve"> </v>
      </c>
      <c r="P602" s="176">
        <v>1</v>
      </c>
      <c r="Q602" s="178" t="s">
        <v>0</v>
      </c>
      <c r="R602" s="176"/>
      <c r="S602" s="178" t="s">
        <v>2578</v>
      </c>
      <c r="T602" s="178" t="str">
        <f t="shared" si="494"/>
        <v>X</v>
      </c>
      <c r="U602" s="176">
        <f t="shared" si="505"/>
        <v>66.03</v>
      </c>
      <c r="V602" s="178" t="str">
        <f t="shared" si="495"/>
        <v xml:space="preserve"> </v>
      </c>
      <c r="W602" s="176">
        <f t="shared" si="506"/>
        <v>0</v>
      </c>
      <c r="X602" s="178" t="str">
        <f t="shared" si="496"/>
        <v xml:space="preserve"> </v>
      </c>
      <c r="Y602" s="176">
        <f t="shared" si="507"/>
        <v>0</v>
      </c>
      <c r="Z602" s="178" t="s">
        <v>2581</v>
      </c>
      <c r="AA602" s="178" t="str">
        <f t="shared" si="497"/>
        <v>X</v>
      </c>
      <c r="AB602" s="176">
        <f t="shared" si="498"/>
        <v>27.96</v>
      </c>
      <c r="AC602" s="178" t="str">
        <f t="shared" si="499"/>
        <v xml:space="preserve"> </v>
      </c>
      <c r="AD602" s="176">
        <f t="shared" si="500"/>
        <v>0</v>
      </c>
      <c r="AE602" s="178" t="str">
        <f t="shared" si="501"/>
        <v xml:space="preserve"> </v>
      </c>
      <c r="AF602" s="176">
        <f t="shared" si="502"/>
        <v>0</v>
      </c>
      <c r="AG602" s="178" t="str">
        <f t="shared" si="503"/>
        <v>X</v>
      </c>
      <c r="AH602" s="176">
        <f t="shared" si="504"/>
        <v>22.01</v>
      </c>
    </row>
    <row r="603" spans="2:34" ht="16.5" outlineLevel="1" x14ac:dyDescent="0.25">
      <c r="B603" s="175" t="s">
        <v>2658</v>
      </c>
      <c r="C603" s="176">
        <v>5.12</v>
      </c>
      <c r="D603" s="176">
        <v>9.9499999999999993</v>
      </c>
      <c r="E603" s="194">
        <v>3</v>
      </c>
      <c r="F603" s="194">
        <v>2.1</v>
      </c>
      <c r="G603" s="194">
        <f t="shared" si="486"/>
        <v>0.89999999999999991</v>
      </c>
      <c r="H603" s="176"/>
      <c r="I603" s="178" t="str">
        <f t="shared" si="487"/>
        <v>X</v>
      </c>
      <c r="J603" s="176">
        <f t="shared" si="488"/>
        <v>29.849999999999998</v>
      </c>
      <c r="K603" s="178" t="str">
        <f t="shared" si="489"/>
        <v>X</v>
      </c>
      <c r="L603" s="176">
        <f t="shared" si="490"/>
        <v>20.895</v>
      </c>
      <c r="M603" s="178" t="str">
        <f t="shared" si="491"/>
        <v>X</v>
      </c>
      <c r="N603" s="177">
        <f t="shared" si="492"/>
        <v>8.9549999999999983</v>
      </c>
      <c r="O603" s="178" t="str">
        <f t="shared" si="493"/>
        <v>X</v>
      </c>
      <c r="P603" s="176">
        <f>IF(L603&gt;0,L603,0)</f>
        <v>20.895</v>
      </c>
      <c r="Q603" s="178" t="s">
        <v>0</v>
      </c>
      <c r="R603" s="176"/>
      <c r="S603" s="178" t="s">
        <v>2578</v>
      </c>
      <c r="T603" s="178" t="str">
        <f t="shared" si="494"/>
        <v>X</v>
      </c>
      <c r="U603" s="176">
        <f t="shared" si="505"/>
        <v>8.9549999999999983</v>
      </c>
      <c r="V603" s="178" t="str">
        <f t="shared" si="495"/>
        <v xml:space="preserve"> </v>
      </c>
      <c r="W603" s="176">
        <f t="shared" si="506"/>
        <v>0</v>
      </c>
      <c r="X603" s="178" t="str">
        <f t="shared" si="496"/>
        <v xml:space="preserve"> </v>
      </c>
      <c r="Y603" s="176">
        <f t="shared" si="507"/>
        <v>0</v>
      </c>
      <c r="Z603" s="178" t="s">
        <v>2581</v>
      </c>
      <c r="AA603" s="178" t="str">
        <f t="shared" si="497"/>
        <v>X</v>
      </c>
      <c r="AB603" s="176">
        <f t="shared" si="498"/>
        <v>5.12</v>
      </c>
      <c r="AC603" s="178" t="str">
        <f t="shared" si="499"/>
        <v xml:space="preserve"> </v>
      </c>
      <c r="AD603" s="176">
        <f t="shared" si="500"/>
        <v>0</v>
      </c>
      <c r="AE603" s="178" t="str">
        <f t="shared" si="501"/>
        <v xml:space="preserve"> </v>
      </c>
      <c r="AF603" s="176">
        <f t="shared" si="502"/>
        <v>0</v>
      </c>
      <c r="AG603" s="178" t="str">
        <f t="shared" si="503"/>
        <v/>
      </c>
      <c r="AH603" s="176">
        <f t="shared" si="504"/>
        <v>0</v>
      </c>
    </row>
    <row r="604" spans="2:34" ht="16.5" outlineLevel="1" x14ac:dyDescent="0.25">
      <c r="B604" s="175" t="s">
        <v>2594</v>
      </c>
      <c r="C604" s="176">
        <v>29.91</v>
      </c>
      <c r="D604" s="176">
        <v>31.33</v>
      </c>
      <c r="E604" s="194">
        <v>3</v>
      </c>
      <c r="F604" s="194">
        <v>0</v>
      </c>
      <c r="G604" s="194">
        <f t="shared" si="486"/>
        <v>3</v>
      </c>
      <c r="H604" s="176"/>
      <c r="I604" s="178" t="str">
        <f t="shared" si="487"/>
        <v>X</v>
      </c>
      <c r="J604" s="176">
        <f t="shared" si="488"/>
        <v>93.99</v>
      </c>
      <c r="K604" s="178" t="str">
        <f t="shared" si="489"/>
        <v xml:space="preserve"> </v>
      </c>
      <c r="L604" s="176">
        <f t="shared" si="490"/>
        <v>0</v>
      </c>
      <c r="M604" s="178" t="str">
        <f t="shared" si="491"/>
        <v>X</v>
      </c>
      <c r="N604" s="177">
        <f t="shared" si="492"/>
        <v>93.99</v>
      </c>
      <c r="O604" s="178" t="str">
        <f t="shared" si="493"/>
        <v xml:space="preserve"> </v>
      </c>
      <c r="P604" s="176">
        <f>IF(L604&gt;0,L604,0)</f>
        <v>0</v>
      </c>
      <c r="Q604" s="178" t="s">
        <v>0</v>
      </c>
      <c r="R604" s="176"/>
      <c r="S604" s="178" t="s">
        <v>2578</v>
      </c>
      <c r="T604" s="178" t="str">
        <f t="shared" si="494"/>
        <v>X</v>
      </c>
      <c r="U604" s="176">
        <f t="shared" si="505"/>
        <v>93.99</v>
      </c>
      <c r="V604" s="178" t="str">
        <f t="shared" si="495"/>
        <v xml:space="preserve"> </v>
      </c>
      <c r="W604" s="176">
        <f t="shared" si="506"/>
        <v>0</v>
      </c>
      <c r="X604" s="178" t="str">
        <f t="shared" si="496"/>
        <v xml:space="preserve"> </v>
      </c>
      <c r="Y604" s="176">
        <f t="shared" si="507"/>
        <v>0</v>
      </c>
      <c r="Z604" s="178" t="s">
        <v>2582</v>
      </c>
      <c r="AA604" s="178" t="str">
        <f t="shared" si="497"/>
        <v xml:space="preserve"> </v>
      </c>
      <c r="AB604" s="176">
        <f t="shared" si="498"/>
        <v>0</v>
      </c>
      <c r="AC604" s="178" t="str">
        <f t="shared" si="499"/>
        <v>X</v>
      </c>
      <c r="AD604" s="176">
        <f t="shared" si="500"/>
        <v>29.91</v>
      </c>
      <c r="AE604" s="178" t="str">
        <f t="shared" si="501"/>
        <v xml:space="preserve"> </v>
      </c>
      <c r="AF604" s="176">
        <f t="shared" si="502"/>
        <v>0</v>
      </c>
      <c r="AG604" s="178" t="str">
        <f t="shared" si="503"/>
        <v>X</v>
      </c>
      <c r="AH604" s="176">
        <f t="shared" si="504"/>
        <v>31.33</v>
      </c>
    </row>
    <row r="605" spans="2:34" ht="16.5" outlineLevel="1" x14ac:dyDescent="0.25">
      <c r="B605" s="175" t="s">
        <v>2824</v>
      </c>
      <c r="C605" s="176">
        <v>12.66</v>
      </c>
      <c r="D605" s="176">
        <v>14.32</v>
      </c>
      <c r="E605" s="194">
        <v>3</v>
      </c>
      <c r="F605" s="194">
        <v>0</v>
      </c>
      <c r="G605" s="194">
        <f t="shared" si="486"/>
        <v>3</v>
      </c>
      <c r="H605" s="176">
        <v>3.1</v>
      </c>
      <c r="I605" s="178" t="str">
        <f t="shared" si="487"/>
        <v>X</v>
      </c>
      <c r="J605" s="176">
        <f t="shared" si="488"/>
        <v>33.660000000000004</v>
      </c>
      <c r="K605" s="178" t="str">
        <f t="shared" si="489"/>
        <v xml:space="preserve"> </v>
      </c>
      <c r="L605" s="176">
        <f t="shared" si="490"/>
        <v>0</v>
      </c>
      <c r="M605" s="178" t="str">
        <f t="shared" si="491"/>
        <v>X</v>
      </c>
      <c r="N605" s="177">
        <f t="shared" si="492"/>
        <v>33.660000000000004</v>
      </c>
      <c r="O605" s="178" t="str">
        <f t="shared" si="493"/>
        <v xml:space="preserve"> </v>
      </c>
      <c r="P605" s="176">
        <f>IF(L605&gt;0,L605,0)</f>
        <v>0</v>
      </c>
      <c r="Q605" s="178" t="s">
        <v>0</v>
      </c>
      <c r="R605" s="176"/>
      <c r="S605" s="178" t="s">
        <v>2578</v>
      </c>
      <c r="T605" s="178" t="str">
        <f t="shared" si="494"/>
        <v>X</v>
      </c>
      <c r="U605" s="176">
        <f t="shared" si="505"/>
        <v>33.660000000000004</v>
      </c>
      <c r="V605" s="178" t="str">
        <f t="shared" si="495"/>
        <v xml:space="preserve"> </v>
      </c>
      <c r="W605" s="176">
        <f t="shared" si="506"/>
        <v>0</v>
      </c>
      <c r="X605" s="178" t="str">
        <f t="shared" si="496"/>
        <v xml:space="preserve"> </v>
      </c>
      <c r="Y605" s="176">
        <f t="shared" si="507"/>
        <v>0</v>
      </c>
      <c r="Z605" s="178" t="s">
        <v>2581</v>
      </c>
      <c r="AA605" s="178" t="str">
        <f t="shared" si="497"/>
        <v>X</v>
      </c>
      <c r="AB605" s="176">
        <f t="shared" si="498"/>
        <v>12.66</v>
      </c>
      <c r="AC605" s="178" t="str">
        <f t="shared" si="499"/>
        <v xml:space="preserve"> </v>
      </c>
      <c r="AD605" s="176">
        <f t="shared" si="500"/>
        <v>0</v>
      </c>
      <c r="AE605" s="178" t="str">
        <f t="shared" si="501"/>
        <v xml:space="preserve"> </v>
      </c>
      <c r="AF605" s="176">
        <f t="shared" si="502"/>
        <v>0</v>
      </c>
      <c r="AG605" s="178" t="str">
        <f t="shared" si="503"/>
        <v>X</v>
      </c>
      <c r="AH605" s="176">
        <f t="shared" si="504"/>
        <v>11.22</v>
      </c>
    </row>
    <row r="606" spans="2:34" ht="16.5" x14ac:dyDescent="0.25">
      <c r="B606" s="182"/>
      <c r="C606" s="185"/>
      <c r="D606" s="185"/>
      <c r="E606" s="185"/>
      <c r="F606" s="185"/>
      <c r="G606" s="185"/>
      <c r="H606" s="185"/>
      <c r="I606" s="184"/>
      <c r="J606" s="185"/>
      <c r="K606" s="184"/>
      <c r="L606" s="185"/>
      <c r="M606" s="184"/>
      <c r="N606" s="185"/>
      <c r="O606" s="201"/>
      <c r="P606" s="185"/>
      <c r="Q606" s="184"/>
      <c r="R606" s="189"/>
      <c r="S606" s="185"/>
      <c r="T606" s="184"/>
      <c r="U606" s="185"/>
      <c r="V606" s="184"/>
      <c r="W606" s="185"/>
      <c r="X606" s="184"/>
      <c r="Y606" s="189"/>
      <c r="Z606" s="185"/>
      <c r="AA606" s="184"/>
      <c r="AB606" s="185"/>
      <c r="AC606" s="184"/>
      <c r="AD606" s="185"/>
      <c r="AE606" s="184"/>
      <c r="AF606" s="189"/>
      <c r="AG606" s="184"/>
      <c r="AH606" s="189"/>
    </row>
    <row r="607" spans="2:34" ht="16.5" x14ac:dyDescent="0.25">
      <c r="B607" s="929" t="s">
        <v>2839</v>
      </c>
      <c r="C607" s="930"/>
      <c r="D607" s="930"/>
      <c r="E607" s="930"/>
      <c r="F607" s="930"/>
      <c r="G607" s="930"/>
      <c r="H607" s="931"/>
      <c r="I607" s="190" t="s">
        <v>2586</v>
      </c>
      <c r="J607" s="191">
        <f>SUBTOTAL(9,J608:J629)</f>
        <v>1019.7900000000001</v>
      </c>
      <c r="K607" s="192" t="s">
        <v>2586</v>
      </c>
      <c r="L607" s="191">
        <f>SUBTOTAL(9,L608:L629)</f>
        <v>166.04700000000003</v>
      </c>
      <c r="M607" s="190" t="s">
        <v>2586</v>
      </c>
      <c r="N607" s="200">
        <f>SUBTOTAL(9,N608:N629)</f>
        <v>853.74299999999982</v>
      </c>
      <c r="O607" s="190" t="s">
        <v>2586</v>
      </c>
      <c r="P607" s="191">
        <f>SUBTOTAL(9,P608:P629)</f>
        <v>174.047</v>
      </c>
      <c r="Q607" s="190" t="s">
        <v>2586</v>
      </c>
      <c r="R607" s="191">
        <f>SUBTOTAL(9,R608:R629)</f>
        <v>0</v>
      </c>
      <c r="S607" s="191"/>
      <c r="T607" s="190" t="s">
        <v>2586</v>
      </c>
      <c r="U607" s="200">
        <f>SUBTOTAL(9,U608:U629)</f>
        <v>790.8929999999998</v>
      </c>
      <c r="V607" s="190" t="s">
        <v>2586</v>
      </c>
      <c r="W607" s="191">
        <f>SUBTOTAL(9,W608:W629)</f>
        <v>0</v>
      </c>
      <c r="X607" s="190" t="s">
        <v>2586</v>
      </c>
      <c r="Y607" s="191">
        <f>SUBTOTAL(9,Y608:Y629)</f>
        <v>62.849999999999994</v>
      </c>
      <c r="Z607" s="191"/>
      <c r="AA607" s="190" t="s">
        <v>2586</v>
      </c>
      <c r="AB607" s="200">
        <f>SUBTOTAL(9,AB608:AB629)</f>
        <v>210.26</v>
      </c>
      <c r="AC607" s="190" t="s">
        <v>2586</v>
      </c>
      <c r="AD607" s="191">
        <f>SUBTOTAL(9,AD608:AD629)</f>
        <v>75.38</v>
      </c>
      <c r="AE607" s="190" t="s">
        <v>2586</v>
      </c>
      <c r="AF607" s="191">
        <f>SUBTOTAL(9,AF608:AF629)</f>
        <v>19.02</v>
      </c>
      <c r="AG607" s="190" t="s">
        <v>2586</v>
      </c>
      <c r="AH607" s="191">
        <f>SUBTOTAL(9,AH608:AH629)</f>
        <v>260.86</v>
      </c>
    </row>
    <row r="608" spans="2:34" ht="16.5" outlineLevel="1" x14ac:dyDescent="0.25">
      <c r="B608" s="175" t="s">
        <v>2642</v>
      </c>
      <c r="C608" s="176">
        <v>25.32</v>
      </c>
      <c r="D608" s="176">
        <v>21.07</v>
      </c>
      <c r="E608" s="194">
        <v>3</v>
      </c>
      <c r="F608" s="194">
        <v>0</v>
      </c>
      <c r="G608" s="194">
        <f t="shared" ref="G608:G629" si="508">E608-F608</f>
        <v>3</v>
      </c>
      <c r="H608" s="176"/>
      <c r="I608" s="178" t="str">
        <f t="shared" ref="I608:I629" si="509">IF($E608&gt;0,"X"," ")</f>
        <v>X</v>
      </c>
      <c r="J608" s="176">
        <f t="shared" ref="J608:J629" si="510">IF(I608="X",($D608-H608)*E608,0)</f>
        <v>63.21</v>
      </c>
      <c r="K608" s="178" t="str">
        <f t="shared" ref="K608:K629" si="511">IF($F608&gt;0,"X"," ")</f>
        <v xml:space="preserve"> </v>
      </c>
      <c r="L608" s="176">
        <f t="shared" ref="L608:L629" si="512">IF(K608="X",($D608-H608)*F608,0)</f>
        <v>0</v>
      </c>
      <c r="M608" s="178" t="str">
        <f t="shared" ref="M608:M629" si="513">IF($E608&gt;0,"X"," ")</f>
        <v>X</v>
      </c>
      <c r="N608" s="177">
        <f t="shared" ref="N608:N629" si="514">IF(M608="X",J608-L608,0)</f>
        <v>63.21</v>
      </c>
      <c r="O608" s="178" t="str">
        <f t="shared" ref="O608:O629" si="515">IF($F608&gt;0,"X"," ")</f>
        <v xml:space="preserve"> </v>
      </c>
      <c r="P608" s="176">
        <v>1</v>
      </c>
      <c r="Q608" s="178" t="s">
        <v>0</v>
      </c>
      <c r="R608" s="176"/>
      <c r="S608" s="178" t="s">
        <v>2578</v>
      </c>
      <c r="T608" s="178" t="str">
        <f t="shared" ref="T608:T629" si="516">IF($S608="ACRÍLICA","X"," ")</f>
        <v>X</v>
      </c>
      <c r="U608" s="176">
        <f>IF(T608="X",$N608,0)</f>
        <v>63.21</v>
      </c>
      <c r="V608" s="178" t="str">
        <f t="shared" ref="V608:V629" si="517">IF($S608="EPÓXI","X"," ")</f>
        <v xml:space="preserve"> </v>
      </c>
      <c r="W608" s="176">
        <f>IF(V608="X",$N608,0)</f>
        <v>0</v>
      </c>
      <c r="X608" s="178" t="str">
        <f t="shared" ref="X608:X629" si="518">IF($S608="TEXTURA","X"," ")</f>
        <v xml:space="preserve"> </v>
      </c>
      <c r="Y608" s="176">
        <f>IF(X608="X",$N608,0)</f>
        <v>0</v>
      </c>
      <c r="Z608" s="178" t="s">
        <v>2581</v>
      </c>
      <c r="AA608" s="178" t="str">
        <f t="shared" ref="AA608:AA629" si="519">IF($Z608="ACARTONADO","X"," ")</f>
        <v>X</v>
      </c>
      <c r="AB608" s="176">
        <f t="shared" ref="AB608:AB629" si="520">IF(AA608="X",$C608,0)</f>
        <v>25.32</v>
      </c>
      <c r="AC608" s="178" t="str">
        <f t="shared" ref="AC608:AC629" si="521">IF($Z608="MINERAL","X"," ")</f>
        <v xml:space="preserve"> </v>
      </c>
      <c r="AD608" s="176">
        <f t="shared" ref="AD608:AD629" si="522">IF(AC608="X",$C608,0)</f>
        <v>0</v>
      </c>
      <c r="AE608" s="178" t="str">
        <f t="shared" ref="AE608:AE629" si="523">IF($Z608="LAJE","X"," ")</f>
        <v xml:space="preserve"> </v>
      </c>
      <c r="AF608" s="176">
        <f t="shared" ref="AF608:AF629" si="524">IF(AE608="X",$C608,0)</f>
        <v>0</v>
      </c>
      <c r="AG608" s="178" t="str">
        <f t="shared" ref="AG608:AG629" si="525">IF(K608="X","","X")</f>
        <v>X</v>
      </c>
      <c r="AH608" s="176">
        <f t="shared" ref="AH608:AH629" si="526">IF(AG608="X",$D608-H608,0)</f>
        <v>21.07</v>
      </c>
    </row>
    <row r="609" spans="2:34" ht="16.5" outlineLevel="1" x14ac:dyDescent="0.25">
      <c r="B609" s="175" t="s">
        <v>2643</v>
      </c>
      <c r="C609" s="176">
        <v>5.17</v>
      </c>
      <c r="D609" s="176">
        <v>9.99</v>
      </c>
      <c r="E609" s="194">
        <v>3</v>
      </c>
      <c r="F609" s="194">
        <v>2.1</v>
      </c>
      <c r="G609" s="194">
        <f t="shared" si="508"/>
        <v>0.89999999999999991</v>
      </c>
      <c r="H609" s="176"/>
      <c r="I609" s="178" t="str">
        <f t="shared" si="509"/>
        <v>X</v>
      </c>
      <c r="J609" s="176">
        <f t="shared" si="510"/>
        <v>29.97</v>
      </c>
      <c r="K609" s="178" t="str">
        <f t="shared" si="511"/>
        <v>X</v>
      </c>
      <c r="L609" s="176">
        <f t="shared" si="512"/>
        <v>20.979000000000003</v>
      </c>
      <c r="M609" s="178" t="str">
        <f t="shared" si="513"/>
        <v>X</v>
      </c>
      <c r="N609" s="177">
        <f t="shared" si="514"/>
        <v>8.9909999999999961</v>
      </c>
      <c r="O609" s="178" t="str">
        <f t="shared" si="515"/>
        <v>X</v>
      </c>
      <c r="P609" s="176">
        <f>IF(L609&gt;0,L609,0)</f>
        <v>20.979000000000003</v>
      </c>
      <c r="Q609" s="178" t="s">
        <v>0</v>
      </c>
      <c r="R609" s="176"/>
      <c r="S609" s="178" t="s">
        <v>2578</v>
      </c>
      <c r="T609" s="178" t="str">
        <f t="shared" si="516"/>
        <v>X</v>
      </c>
      <c r="U609" s="176">
        <f t="shared" ref="U609:U629" si="527">IF(T609="X",$N609,0)</f>
        <v>8.9909999999999961</v>
      </c>
      <c r="V609" s="178" t="str">
        <f t="shared" si="517"/>
        <v xml:space="preserve"> </v>
      </c>
      <c r="W609" s="176">
        <f t="shared" ref="W609:W629" si="528">IF(V609="X",$N609,0)</f>
        <v>0</v>
      </c>
      <c r="X609" s="178" t="str">
        <f t="shared" si="518"/>
        <v xml:space="preserve"> </v>
      </c>
      <c r="Y609" s="176">
        <f t="shared" ref="Y609:Y629" si="529">IF(X609="X",$N609,0)</f>
        <v>0</v>
      </c>
      <c r="Z609" s="178" t="s">
        <v>2581</v>
      </c>
      <c r="AA609" s="178" t="str">
        <f t="shared" si="519"/>
        <v>X</v>
      </c>
      <c r="AB609" s="176">
        <f t="shared" si="520"/>
        <v>5.17</v>
      </c>
      <c r="AC609" s="178" t="str">
        <f t="shared" si="521"/>
        <v xml:space="preserve"> </v>
      </c>
      <c r="AD609" s="176">
        <f t="shared" si="522"/>
        <v>0</v>
      </c>
      <c r="AE609" s="178" t="str">
        <f t="shared" si="523"/>
        <v xml:space="preserve"> </v>
      </c>
      <c r="AF609" s="176">
        <f t="shared" si="524"/>
        <v>0</v>
      </c>
      <c r="AG609" s="178" t="str">
        <f t="shared" si="525"/>
        <v/>
      </c>
      <c r="AH609" s="176">
        <f t="shared" si="526"/>
        <v>0</v>
      </c>
    </row>
    <row r="610" spans="2:34" ht="16.5" outlineLevel="1" x14ac:dyDescent="0.25">
      <c r="B610" s="175" t="s">
        <v>2725</v>
      </c>
      <c r="C610" s="176">
        <v>12.83</v>
      </c>
      <c r="D610" s="176">
        <v>17.39</v>
      </c>
      <c r="E610" s="194">
        <v>3</v>
      </c>
      <c r="F610" s="194">
        <v>0</v>
      </c>
      <c r="G610" s="194">
        <f t="shared" si="508"/>
        <v>3</v>
      </c>
      <c r="H610" s="176"/>
      <c r="I610" s="178" t="str">
        <f t="shared" si="509"/>
        <v>X</v>
      </c>
      <c r="J610" s="176">
        <f t="shared" si="510"/>
        <v>52.17</v>
      </c>
      <c r="K610" s="178" t="str">
        <f t="shared" si="511"/>
        <v xml:space="preserve"> </v>
      </c>
      <c r="L610" s="176">
        <f t="shared" si="512"/>
        <v>0</v>
      </c>
      <c r="M610" s="178" t="str">
        <f t="shared" si="513"/>
        <v>X</v>
      </c>
      <c r="N610" s="177">
        <f t="shared" si="514"/>
        <v>52.17</v>
      </c>
      <c r="O610" s="178" t="str">
        <f t="shared" si="515"/>
        <v xml:space="preserve"> </v>
      </c>
      <c r="P610" s="176">
        <v>1</v>
      </c>
      <c r="Q610" s="178" t="s">
        <v>0</v>
      </c>
      <c r="R610" s="176"/>
      <c r="S610" s="178" t="s">
        <v>2578</v>
      </c>
      <c r="T610" s="178" t="str">
        <f t="shared" si="516"/>
        <v>X</v>
      </c>
      <c r="U610" s="176">
        <f t="shared" si="527"/>
        <v>52.17</v>
      </c>
      <c r="V610" s="178" t="str">
        <f t="shared" si="517"/>
        <v xml:space="preserve"> </v>
      </c>
      <c r="W610" s="176">
        <f t="shared" si="528"/>
        <v>0</v>
      </c>
      <c r="X610" s="178" t="str">
        <f t="shared" si="518"/>
        <v xml:space="preserve"> </v>
      </c>
      <c r="Y610" s="176">
        <f t="shared" si="529"/>
        <v>0</v>
      </c>
      <c r="Z610" s="178" t="s">
        <v>2581</v>
      </c>
      <c r="AA610" s="178" t="str">
        <f t="shared" si="519"/>
        <v>X</v>
      </c>
      <c r="AB610" s="176">
        <f t="shared" si="520"/>
        <v>12.83</v>
      </c>
      <c r="AC610" s="178" t="str">
        <f t="shared" si="521"/>
        <v xml:space="preserve"> </v>
      </c>
      <c r="AD610" s="176">
        <f t="shared" si="522"/>
        <v>0</v>
      </c>
      <c r="AE610" s="178" t="str">
        <f t="shared" si="523"/>
        <v xml:space="preserve"> </v>
      </c>
      <c r="AF610" s="176">
        <f t="shared" si="524"/>
        <v>0</v>
      </c>
      <c r="AG610" s="178" t="str">
        <f t="shared" si="525"/>
        <v>X</v>
      </c>
      <c r="AH610" s="176">
        <f t="shared" si="526"/>
        <v>17.39</v>
      </c>
    </row>
    <row r="611" spans="2:34" ht="16.5" outlineLevel="1" x14ac:dyDescent="0.25">
      <c r="B611" s="175" t="s">
        <v>2660</v>
      </c>
      <c r="C611" s="176">
        <v>2.5099999999999998</v>
      </c>
      <c r="D611" s="176">
        <v>6.35</v>
      </c>
      <c r="E611" s="194">
        <v>3</v>
      </c>
      <c r="F611" s="194">
        <v>2.1</v>
      </c>
      <c r="G611" s="194">
        <f t="shared" si="508"/>
        <v>0.89999999999999991</v>
      </c>
      <c r="H611" s="176"/>
      <c r="I611" s="178" t="str">
        <f t="shared" si="509"/>
        <v>X</v>
      </c>
      <c r="J611" s="176">
        <f t="shared" si="510"/>
        <v>19.049999999999997</v>
      </c>
      <c r="K611" s="178" t="str">
        <f t="shared" si="511"/>
        <v>X</v>
      </c>
      <c r="L611" s="176">
        <f t="shared" si="512"/>
        <v>13.334999999999999</v>
      </c>
      <c r="M611" s="178" t="str">
        <f t="shared" si="513"/>
        <v>X</v>
      </c>
      <c r="N611" s="177">
        <f t="shared" si="514"/>
        <v>5.7149999999999981</v>
      </c>
      <c r="O611" s="178" t="str">
        <f t="shared" si="515"/>
        <v>X</v>
      </c>
      <c r="P611" s="176">
        <f t="shared" ref="P611:P616" si="530">IF(L611&gt;0,L611,0)</f>
        <v>13.334999999999999</v>
      </c>
      <c r="Q611" s="178" t="s">
        <v>0</v>
      </c>
      <c r="R611" s="176"/>
      <c r="S611" s="178" t="s">
        <v>2578</v>
      </c>
      <c r="T611" s="178" t="str">
        <f t="shared" si="516"/>
        <v>X</v>
      </c>
      <c r="U611" s="176">
        <f t="shared" si="527"/>
        <v>5.7149999999999981</v>
      </c>
      <c r="V611" s="178" t="str">
        <f t="shared" si="517"/>
        <v xml:space="preserve"> </v>
      </c>
      <c r="W611" s="176">
        <f t="shared" si="528"/>
        <v>0</v>
      </c>
      <c r="X611" s="178" t="str">
        <f t="shared" si="518"/>
        <v xml:space="preserve"> </v>
      </c>
      <c r="Y611" s="176">
        <f t="shared" si="529"/>
        <v>0</v>
      </c>
      <c r="Z611" s="178" t="s">
        <v>2581</v>
      </c>
      <c r="AA611" s="178" t="str">
        <f t="shared" si="519"/>
        <v>X</v>
      </c>
      <c r="AB611" s="176">
        <f t="shared" si="520"/>
        <v>2.5099999999999998</v>
      </c>
      <c r="AC611" s="178" t="str">
        <f t="shared" si="521"/>
        <v xml:space="preserve"> </v>
      </c>
      <c r="AD611" s="176">
        <f t="shared" si="522"/>
        <v>0</v>
      </c>
      <c r="AE611" s="178" t="str">
        <f t="shared" si="523"/>
        <v xml:space="preserve"> </v>
      </c>
      <c r="AF611" s="176">
        <f t="shared" si="524"/>
        <v>0</v>
      </c>
      <c r="AG611" s="178" t="str">
        <f t="shared" si="525"/>
        <v/>
      </c>
      <c r="AH611" s="176">
        <f t="shared" si="526"/>
        <v>0</v>
      </c>
    </row>
    <row r="612" spans="2:34" ht="16.5" outlineLevel="1" x14ac:dyDescent="0.25">
      <c r="B612" s="175" t="s">
        <v>2661</v>
      </c>
      <c r="C612" s="176">
        <v>2.11</v>
      </c>
      <c r="D612" s="176">
        <v>6.35</v>
      </c>
      <c r="E612" s="194">
        <v>3</v>
      </c>
      <c r="F612" s="194">
        <v>2.1</v>
      </c>
      <c r="G612" s="194">
        <f t="shared" si="508"/>
        <v>0.89999999999999991</v>
      </c>
      <c r="H612" s="176"/>
      <c r="I612" s="178" t="str">
        <f t="shared" si="509"/>
        <v>X</v>
      </c>
      <c r="J612" s="176">
        <f t="shared" si="510"/>
        <v>19.049999999999997</v>
      </c>
      <c r="K612" s="178" t="str">
        <f t="shared" si="511"/>
        <v>X</v>
      </c>
      <c r="L612" s="176">
        <f t="shared" si="512"/>
        <v>13.334999999999999</v>
      </c>
      <c r="M612" s="178" t="str">
        <f t="shared" si="513"/>
        <v>X</v>
      </c>
      <c r="N612" s="177">
        <f t="shared" si="514"/>
        <v>5.7149999999999981</v>
      </c>
      <c r="O612" s="178" t="str">
        <f t="shared" si="515"/>
        <v>X</v>
      </c>
      <c r="P612" s="176">
        <f t="shared" si="530"/>
        <v>13.334999999999999</v>
      </c>
      <c r="Q612" s="178" t="s">
        <v>0</v>
      </c>
      <c r="R612" s="176"/>
      <c r="S612" s="178" t="s">
        <v>2578</v>
      </c>
      <c r="T612" s="178" t="str">
        <f t="shared" si="516"/>
        <v>X</v>
      </c>
      <c r="U612" s="176">
        <f t="shared" si="527"/>
        <v>5.7149999999999981</v>
      </c>
      <c r="V612" s="178" t="str">
        <f t="shared" si="517"/>
        <v xml:space="preserve"> </v>
      </c>
      <c r="W612" s="176">
        <f t="shared" si="528"/>
        <v>0</v>
      </c>
      <c r="X612" s="178" t="str">
        <f t="shared" si="518"/>
        <v xml:space="preserve"> </v>
      </c>
      <c r="Y612" s="176">
        <f t="shared" si="529"/>
        <v>0</v>
      </c>
      <c r="Z612" s="178" t="s">
        <v>2581</v>
      </c>
      <c r="AA612" s="178" t="str">
        <f t="shared" si="519"/>
        <v>X</v>
      </c>
      <c r="AB612" s="176">
        <f t="shared" si="520"/>
        <v>2.11</v>
      </c>
      <c r="AC612" s="178" t="str">
        <f t="shared" si="521"/>
        <v xml:space="preserve"> </v>
      </c>
      <c r="AD612" s="176">
        <f t="shared" si="522"/>
        <v>0</v>
      </c>
      <c r="AE612" s="178" t="str">
        <f t="shared" si="523"/>
        <v xml:space="preserve"> </v>
      </c>
      <c r="AF612" s="176">
        <f t="shared" si="524"/>
        <v>0</v>
      </c>
      <c r="AG612" s="178" t="str">
        <f t="shared" si="525"/>
        <v/>
      </c>
      <c r="AH612" s="176">
        <f t="shared" si="526"/>
        <v>0</v>
      </c>
    </row>
    <row r="613" spans="2:34" ht="16.5" outlineLevel="1" x14ac:dyDescent="0.25">
      <c r="B613" s="175" t="s">
        <v>2750</v>
      </c>
      <c r="C613" s="176">
        <v>6.65</v>
      </c>
      <c r="D613" s="176">
        <v>10.47</v>
      </c>
      <c r="E613" s="194">
        <v>3</v>
      </c>
      <c r="F613" s="194">
        <v>0</v>
      </c>
      <c r="G613" s="194">
        <f t="shared" si="508"/>
        <v>3</v>
      </c>
      <c r="H613" s="176"/>
      <c r="I613" s="178" t="str">
        <f t="shared" si="509"/>
        <v>X</v>
      </c>
      <c r="J613" s="176">
        <f t="shared" si="510"/>
        <v>31.410000000000004</v>
      </c>
      <c r="K613" s="178" t="str">
        <f t="shared" si="511"/>
        <v xml:space="preserve"> </v>
      </c>
      <c r="L613" s="176">
        <f t="shared" si="512"/>
        <v>0</v>
      </c>
      <c r="M613" s="178" t="str">
        <f t="shared" si="513"/>
        <v>X</v>
      </c>
      <c r="N613" s="177">
        <f t="shared" si="514"/>
        <v>31.410000000000004</v>
      </c>
      <c r="O613" s="178" t="str">
        <f t="shared" si="515"/>
        <v xml:space="preserve"> </v>
      </c>
      <c r="P613" s="176">
        <f t="shared" si="530"/>
        <v>0</v>
      </c>
      <c r="Q613" s="178" t="s">
        <v>0</v>
      </c>
      <c r="R613" s="176"/>
      <c r="S613" s="178" t="s">
        <v>2578</v>
      </c>
      <c r="T613" s="178" t="str">
        <f t="shared" si="516"/>
        <v>X</v>
      </c>
      <c r="U613" s="176">
        <f t="shared" si="527"/>
        <v>31.410000000000004</v>
      </c>
      <c r="V613" s="178" t="str">
        <f t="shared" si="517"/>
        <v xml:space="preserve"> </v>
      </c>
      <c r="W613" s="176">
        <f t="shared" si="528"/>
        <v>0</v>
      </c>
      <c r="X613" s="178" t="str">
        <f t="shared" si="518"/>
        <v xml:space="preserve"> </v>
      </c>
      <c r="Y613" s="176">
        <f t="shared" si="529"/>
        <v>0</v>
      </c>
      <c r="Z613" s="178" t="s">
        <v>2581</v>
      </c>
      <c r="AA613" s="178" t="str">
        <f t="shared" si="519"/>
        <v>X</v>
      </c>
      <c r="AB613" s="176">
        <f t="shared" si="520"/>
        <v>6.65</v>
      </c>
      <c r="AC613" s="178" t="str">
        <f t="shared" si="521"/>
        <v xml:space="preserve"> </v>
      </c>
      <c r="AD613" s="176">
        <f t="shared" si="522"/>
        <v>0</v>
      </c>
      <c r="AE613" s="178" t="str">
        <f t="shared" si="523"/>
        <v xml:space="preserve"> </v>
      </c>
      <c r="AF613" s="176">
        <f t="shared" si="524"/>
        <v>0</v>
      </c>
      <c r="AG613" s="178" t="str">
        <f t="shared" si="525"/>
        <v>X</v>
      </c>
      <c r="AH613" s="176">
        <f t="shared" si="526"/>
        <v>10.47</v>
      </c>
    </row>
    <row r="614" spans="2:34" ht="16.5" outlineLevel="1" x14ac:dyDescent="0.25">
      <c r="B614" s="175" t="s">
        <v>2749</v>
      </c>
      <c r="C614" s="176">
        <v>6.71</v>
      </c>
      <c r="D614" s="176">
        <v>10.47</v>
      </c>
      <c r="E614" s="194">
        <v>3</v>
      </c>
      <c r="F614" s="194">
        <v>0</v>
      </c>
      <c r="G614" s="194">
        <f t="shared" si="508"/>
        <v>3</v>
      </c>
      <c r="H614" s="176"/>
      <c r="I614" s="178" t="str">
        <f t="shared" si="509"/>
        <v>X</v>
      </c>
      <c r="J614" s="176">
        <f t="shared" si="510"/>
        <v>31.410000000000004</v>
      </c>
      <c r="K614" s="178" t="str">
        <f t="shared" si="511"/>
        <v xml:space="preserve"> </v>
      </c>
      <c r="L614" s="176">
        <f t="shared" si="512"/>
        <v>0</v>
      </c>
      <c r="M614" s="178" t="str">
        <f t="shared" si="513"/>
        <v>X</v>
      </c>
      <c r="N614" s="177">
        <f t="shared" si="514"/>
        <v>31.410000000000004</v>
      </c>
      <c r="O614" s="178" t="str">
        <f t="shared" si="515"/>
        <v xml:space="preserve"> </v>
      </c>
      <c r="P614" s="176">
        <f t="shared" si="530"/>
        <v>0</v>
      </c>
      <c r="Q614" s="178" t="s">
        <v>0</v>
      </c>
      <c r="R614" s="176"/>
      <c r="S614" s="178" t="s">
        <v>2578</v>
      </c>
      <c r="T614" s="178" t="str">
        <f t="shared" si="516"/>
        <v>X</v>
      </c>
      <c r="U614" s="176">
        <f t="shared" si="527"/>
        <v>31.410000000000004</v>
      </c>
      <c r="V614" s="178" t="str">
        <f t="shared" si="517"/>
        <v xml:space="preserve"> </v>
      </c>
      <c r="W614" s="176">
        <f t="shared" si="528"/>
        <v>0</v>
      </c>
      <c r="X614" s="178" t="str">
        <f t="shared" si="518"/>
        <v xml:space="preserve"> </v>
      </c>
      <c r="Y614" s="176">
        <f t="shared" si="529"/>
        <v>0</v>
      </c>
      <c r="Z614" s="178" t="s">
        <v>2581</v>
      </c>
      <c r="AA614" s="178" t="str">
        <f t="shared" si="519"/>
        <v>X</v>
      </c>
      <c r="AB614" s="176">
        <f t="shared" si="520"/>
        <v>6.71</v>
      </c>
      <c r="AC614" s="178" t="str">
        <f t="shared" si="521"/>
        <v xml:space="preserve"> </v>
      </c>
      <c r="AD614" s="176">
        <f t="shared" si="522"/>
        <v>0</v>
      </c>
      <c r="AE614" s="178" t="str">
        <f t="shared" si="523"/>
        <v xml:space="preserve"> </v>
      </c>
      <c r="AF614" s="176">
        <f t="shared" si="524"/>
        <v>0</v>
      </c>
      <c r="AG614" s="178" t="str">
        <f t="shared" si="525"/>
        <v>X</v>
      </c>
      <c r="AH614" s="176">
        <f t="shared" si="526"/>
        <v>10.47</v>
      </c>
    </row>
    <row r="615" spans="2:34" ht="16.5" outlineLevel="1" x14ac:dyDescent="0.25">
      <c r="B615" s="175" t="s">
        <v>2591</v>
      </c>
      <c r="C615" s="176">
        <v>3.13</v>
      </c>
      <c r="D615" s="176">
        <v>7.08</v>
      </c>
      <c r="E615" s="194">
        <v>3</v>
      </c>
      <c r="F615" s="194">
        <v>2.1</v>
      </c>
      <c r="G615" s="194">
        <f t="shared" si="508"/>
        <v>0.89999999999999991</v>
      </c>
      <c r="H615" s="176"/>
      <c r="I615" s="178" t="str">
        <f t="shared" si="509"/>
        <v>X</v>
      </c>
      <c r="J615" s="176">
        <f t="shared" si="510"/>
        <v>21.240000000000002</v>
      </c>
      <c r="K615" s="178" t="str">
        <f t="shared" si="511"/>
        <v>X</v>
      </c>
      <c r="L615" s="176">
        <f t="shared" si="512"/>
        <v>14.868</v>
      </c>
      <c r="M615" s="178" t="str">
        <f t="shared" si="513"/>
        <v>X</v>
      </c>
      <c r="N615" s="177">
        <f t="shared" si="514"/>
        <v>6.3720000000000017</v>
      </c>
      <c r="O615" s="178" t="str">
        <f t="shared" si="515"/>
        <v>X</v>
      </c>
      <c r="P615" s="176">
        <f t="shared" si="530"/>
        <v>14.868</v>
      </c>
      <c r="Q615" s="178" t="s">
        <v>0</v>
      </c>
      <c r="R615" s="176"/>
      <c r="S615" s="178" t="s">
        <v>2578</v>
      </c>
      <c r="T615" s="178" t="str">
        <f t="shared" si="516"/>
        <v>X</v>
      </c>
      <c r="U615" s="176">
        <f t="shared" si="527"/>
        <v>6.3720000000000017</v>
      </c>
      <c r="V615" s="178" t="str">
        <f t="shared" si="517"/>
        <v xml:space="preserve"> </v>
      </c>
      <c r="W615" s="176">
        <f t="shared" si="528"/>
        <v>0</v>
      </c>
      <c r="X615" s="178" t="str">
        <f t="shared" si="518"/>
        <v xml:space="preserve"> </v>
      </c>
      <c r="Y615" s="176">
        <f t="shared" si="529"/>
        <v>0</v>
      </c>
      <c r="Z615" s="178" t="s">
        <v>2581</v>
      </c>
      <c r="AA615" s="178" t="str">
        <f t="shared" si="519"/>
        <v>X</v>
      </c>
      <c r="AB615" s="176">
        <f t="shared" si="520"/>
        <v>3.13</v>
      </c>
      <c r="AC615" s="178" t="str">
        <f t="shared" si="521"/>
        <v xml:space="preserve"> </v>
      </c>
      <c r="AD615" s="176">
        <f t="shared" si="522"/>
        <v>0</v>
      </c>
      <c r="AE615" s="178" t="str">
        <f t="shared" si="523"/>
        <v xml:space="preserve"> </v>
      </c>
      <c r="AF615" s="176">
        <f t="shared" si="524"/>
        <v>0</v>
      </c>
      <c r="AG615" s="178" t="str">
        <f t="shared" si="525"/>
        <v/>
      </c>
      <c r="AH615" s="176">
        <f t="shared" si="526"/>
        <v>0</v>
      </c>
    </row>
    <row r="616" spans="2:34" ht="16.5" outlineLevel="1" x14ac:dyDescent="0.25">
      <c r="B616" s="175" t="s">
        <v>2666</v>
      </c>
      <c r="C616" s="176">
        <v>4.49</v>
      </c>
      <c r="D616" s="176">
        <v>8.73</v>
      </c>
      <c r="E616" s="194">
        <v>3</v>
      </c>
      <c r="F616" s="194">
        <v>2.1</v>
      </c>
      <c r="G616" s="194">
        <f t="shared" si="508"/>
        <v>0.89999999999999991</v>
      </c>
      <c r="H616" s="176"/>
      <c r="I616" s="178" t="str">
        <f t="shared" si="509"/>
        <v>X</v>
      </c>
      <c r="J616" s="176">
        <f t="shared" si="510"/>
        <v>26.19</v>
      </c>
      <c r="K616" s="178" t="str">
        <f t="shared" si="511"/>
        <v>X</v>
      </c>
      <c r="L616" s="176">
        <f t="shared" si="512"/>
        <v>18.333000000000002</v>
      </c>
      <c r="M616" s="178" t="str">
        <f t="shared" si="513"/>
        <v>X</v>
      </c>
      <c r="N616" s="177">
        <f t="shared" si="514"/>
        <v>7.8569999999999993</v>
      </c>
      <c r="O616" s="178" t="str">
        <f t="shared" si="515"/>
        <v>X</v>
      </c>
      <c r="P616" s="176">
        <f t="shared" si="530"/>
        <v>18.333000000000002</v>
      </c>
      <c r="Q616" s="178" t="s">
        <v>0</v>
      </c>
      <c r="R616" s="176"/>
      <c r="S616" s="178" t="s">
        <v>2578</v>
      </c>
      <c r="T616" s="178" t="str">
        <f t="shared" si="516"/>
        <v>X</v>
      </c>
      <c r="U616" s="176">
        <f t="shared" si="527"/>
        <v>7.8569999999999993</v>
      </c>
      <c r="V616" s="178" t="str">
        <f t="shared" si="517"/>
        <v xml:space="preserve"> </v>
      </c>
      <c r="W616" s="176">
        <f t="shared" si="528"/>
        <v>0</v>
      </c>
      <c r="X616" s="178" t="str">
        <f t="shared" si="518"/>
        <v xml:space="preserve"> </v>
      </c>
      <c r="Y616" s="176">
        <f t="shared" si="529"/>
        <v>0</v>
      </c>
      <c r="Z616" s="178" t="s">
        <v>2581</v>
      </c>
      <c r="AA616" s="178" t="str">
        <f t="shared" si="519"/>
        <v>X</v>
      </c>
      <c r="AB616" s="176">
        <f t="shared" si="520"/>
        <v>4.49</v>
      </c>
      <c r="AC616" s="178" t="str">
        <f t="shared" si="521"/>
        <v xml:space="preserve"> </v>
      </c>
      <c r="AD616" s="176">
        <f t="shared" si="522"/>
        <v>0</v>
      </c>
      <c r="AE616" s="178" t="str">
        <f t="shared" si="523"/>
        <v xml:space="preserve"> </v>
      </c>
      <c r="AF616" s="176">
        <f t="shared" si="524"/>
        <v>0</v>
      </c>
      <c r="AG616" s="178" t="str">
        <f t="shared" si="525"/>
        <v/>
      </c>
      <c r="AH616" s="176">
        <f t="shared" si="526"/>
        <v>0</v>
      </c>
    </row>
    <row r="617" spans="2:34" ht="16.5" outlineLevel="1" x14ac:dyDescent="0.25">
      <c r="B617" s="175" t="s">
        <v>2730</v>
      </c>
      <c r="C617" s="176">
        <v>13.54</v>
      </c>
      <c r="D617" s="176">
        <v>15.12</v>
      </c>
      <c r="E617" s="194">
        <v>3</v>
      </c>
      <c r="F617" s="194">
        <v>0</v>
      </c>
      <c r="G617" s="194">
        <f t="shared" si="508"/>
        <v>3</v>
      </c>
      <c r="H617" s="176">
        <v>1.5</v>
      </c>
      <c r="I617" s="178" t="str">
        <f t="shared" si="509"/>
        <v>X</v>
      </c>
      <c r="J617" s="176">
        <f t="shared" si="510"/>
        <v>40.86</v>
      </c>
      <c r="K617" s="178" t="str">
        <f t="shared" si="511"/>
        <v xml:space="preserve"> </v>
      </c>
      <c r="L617" s="176">
        <f t="shared" si="512"/>
        <v>0</v>
      </c>
      <c r="M617" s="178" t="str">
        <f t="shared" si="513"/>
        <v>X</v>
      </c>
      <c r="N617" s="177">
        <f t="shared" si="514"/>
        <v>40.86</v>
      </c>
      <c r="O617" s="178" t="str">
        <f t="shared" si="515"/>
        <v xml:space="preserve"> </v>
      </c>
      <c r="P617" s="176">
        <v>1</v>
      </c>
      <c r="Q617" s="178" t="s">
        <v>0</v>
      </c>
      <c r="R617" s="176"/>
      <c r="S617" s="178" t="s">
        <v>2578</v>
      </c>
      <c r="T617" s="178" t="str">
        <f t="shared" si="516"/>
        <v>X</v>
      </c>
      <c r="U617" s="176">
        <f t="shared" si="527"/>
        <v>40.86</v>
      </c>
      <c r="V617" s="178" t="str">
        <f t="shared" si="517"/>
        <v xml:space="preserve"> </v>
      </c>
      <c r="W617" s="176">
        <f t="shared" si="528"/>
        <v>0</v>
      </c>
      <c r="X617" s="178" t="str">
        <f t="shared" si="518"/>
        <v xml:space="preserve"> </v>
      </c>
      <c r="Y617" s="176">
        <f t="shared" si="529"/>
        <v>0</v>
      </c>
      <c r="Z617" s="178" t="s">
        <v>2582</v>
      </c>
      <c r="AA617" s="178" t="str">
        <f t="shared" si="519"/>
        <v xml:space="preserve"> </v>
      </c>
      <c r="AB617" s="176">
        <f t="shared" si="520"/>
        <v>0</v>
      </c>
      <c r="AC617" s="178" t="str">
        <f t="shared" si="521"/>
        <v>X</v>
      </c>
      <c r="AD617" s="176">
        <f t="shared" si="522"/>
        <v>13.54</v>
      </c>
      <c r="AE617" s="178" t="str">
        <f t="shared" si="523"/>
        <v xml:space="preserve"> </v>
      </c>
      <c r="AF617" s="176">
        <f t="shared" si="524"/>
        <v>0</v>
      </c>
      <c r="AG617" s="178" t="str">
        <f t="shared" si="525"/>
        <v>X</v>
      </c>
      <c r="AH617" s="176">
        <f t="shared" si="526"/>
        <v>13.62</v>
      </c>
    </row>
    <row r="618" spans="2:34" ht="16.5" outlineLevel="1" x14ac:dyDescent="0.25">
      <c r="B618" s="175" t="s">
        <v>2669</v>
      </c>
      <c r="C618" s="176">
        <v>6.85</v>
      </c>
      <c r="D618" s="176">
        <v>11.95</v>
      </c>
      <c r="E618" s="194">
        <v>3</v>
      </c>
      <c r="F618" s="194">
        <v>0</v>
      </c>
      <c r="G618" s="194">
        <f t="shared" si="508"/>
        <v>3</v>
      </c>
      <c r="H618" s="176"/>
      <c r="I618" s="178" t="str">
        <f t="shared" si="509"/>
        <v>X</v>
      </c>
      <c r="J618" s="176">
        <f t="shared" si="510"/>
        <v>35.849999999999994</v>
      </c>
      <c r="K618" s="178" t="str">
        <f t="shared" si="511"/>
        <v xml:space="preserve"> </v>
      </c>
      <c r="L618" s="176">
        <f t="shared" si="512"/>
        <v>0</v>
      </c>
      <c r="M618" s="178" t="str">
        <f t="shared" si="513"/>
        <v>X</v>
      </c>
      <c r="N618" s="177">
        <f t="shared" si="514"/>
        <v>35.849999999999994</v>
      </c>
      <c r="O618" s="178" t="str">
        <f t="shared" si="515"/>
        <v xml:space="preserve"> </v>
      </c>
      <c r="P618" s="176">
        <f>IF(L618&gt;0,L618,0)</f>
        <v>0</v>
      </c>
      <c r="Q618" s="178" t="s">
        <v>0</v>
      </c>
      <c r="R618" s="176"/>
      <c r="S618" s="178" t="s">
        <v>2578</v>
      </c>
      <c r="T618" s="178" t="str">
        <f t="shared" si="516"/>
        <v>X</v>
      </c>
      <c r="U618" s="176">
        <f t="shared" si="527"/>
        <v>35.849999999999994</v>
      </c>
      <c r="V618" s="178" t="str">
        <f t="shared" si="517"/>
        <v xml:space="preserve"> </v>
      </c>
      <c r="W618" s="176">
        <f t="shared" si="528"/>
        <v>0</v>
      </c>
      <c r="X618" s="178" t="str">
        <f t="shared" si="518"/>
        <v xml:space="preserve"> </v>
      </c>
      <c r="Y618" s="176">
        <f t="shared" si="529"/>
        <v>0</v>
      </c>
      <c r="Z618" s="178" t="s">
        <v>2581</v>
      </c>
      <c r="AA618" s="178" t="str">
        <f t="shared" si="519"/>
        <v>X</v>
      </c>
      <c r="AB618" s="176">
        <f t="shared" si="520"/>
        <v>6.85</v>
      </c>
      <c r="AC618" s="178" t="str">
        <f t="shared" si="521"/>
        <v xml:space="preserve"> </v>
      </c>
      <c r="AD618" s="176">
        <f t="shared" si="522"/>
        <v>0</v>
      </c>
      <c r="AE618" s="178" t="str">
        <f t="shared" si="523"/>
        <v xml:space="preserve"> </v>
      </c>
      <c r="AF618" s="176">
        <f t="shared" si="524"/>
        <v>0</v>
      </c>
      <c r="AG618" s="178" t="str">
        <f t="shared" si="525"/>
        <v>X</v>
      </c>
      <c r="AH618" s="176">
        <f t="shared" si="526"/>
        <v>11.95</v>
      </c>
    </row>
    <row r="619" spans="2:34" ht="16.5" outlineLevel="1" x14ac:dyDescent="0.25">
      <c r="B619" s="175" t="s">
        <v>2670</v>
      </c>
      <c r="C619" s="176">
        <v>19.02</v>
      </c>
      <c r="D619" s="176">
        <v>20.95</v>
      </c>
      <c r="E619" s="194">
        <v>3</v>
      </c>
      <c r="F619" s="194">
        <v>0</v>
      </c>
      <c r="G619" s="194">
        <f t="shared" si="508"/>
        <v>3</v>
      </c>
      <c r="H619" s="176"/>
      <c r="I619" s="178" t="str">
        <f t="shared" si="509"/>
        <v>X</v>
      </c>
      <c r="J619" s="176">
        <f t="shared" si="510"/>
        <v>62.849999999999994</v>
      </c>
      <c r="K619" s="178" t="str">
        <f t="shared" si="511"/>
        <v xml:space="preserve"> </v>
      </c>
      <c r="L619" s="176">
        <f t="shared" si="512"/>
        <v>0</v>
      </c>
      <c r="M619" s="178" t="str">
        <f t="shared" si="513"/>
        <v>X</v>
      </c>
      <c r="N619" s="177">
        <f t="shared" si="514"/>
        <v>62.849999999999994</v>
      </c>
      <c r="O619" s="178" t="str">
        <f t="shared" si="515"/>
        <v xml:space="preserve"> </v>
      </c>
      <c r="P619" s="176">
        <f>IF(L619&gt;0,L619,0)</f>
        <v>0</v>
      </c>
      <c r="Q619" s="178" t="s">
        <v>0</v>
      </c>
      <c r="R619" s="176"/>
      <c r="S619" s="178" t="s">
        <v>2580</v>
      </c>
      <c r="T619" s="178" t="str">
        <f t="shared" si="516"/>
        <v xml:space="preserve"> </v>
      </c>
      <c r="U619" s="176">
        <f t="shared" si="527"/>
        <v>0</v>
      </c>
      <c r="V619" s="178" t="str">
        <f t="shared" si="517"/>
        <v xml:space="preserve"> </v>
      </c>
      <c r="W619" s="176">
        <f t="shared" si="528"/>
        <v>0</v>
      </c>
      <c r="X619" s="178" t="str">
        <f t="shared" si="518"/>
        <v>X</v>
      </c>
      <c r="Y619" s="176">
        <f t="shared" si="529"/>
        <v>62.849999999999994</v>
      </c>
      <c r="Z619" s="178" t="s">
        <v>2583</v>
      </c>
      <c r="AA619" s="178" t="str">
        <f t="shared" si="519"/>
        <v xml:space="preserve"> </v>
      </c>
      <c r="AB619" s="176">
        <f t="shared" si="520"/>
        <v>0</v>
      </c>
      <c r="AC619" s="178" t="str">
        <f t="shared" si="521"/>
        <v xml:space="preserve"> </v>
      </c>
      <c r="AD619" s="176">
        <f t="shared" si="522"/>
        <v>0</v>
      </c>
      <c r="AE619" s="178" t="str">
        <f t="shared" si="523"/>
        <v>X</v>
      </c>
      <c r="AF619" s="176">
        <f t="shared" si="524"/>
        <v>19.02</v>
      </c>
      <c r="AG619" s="178" t="str">
        <f t="shared" si="525"/>
        <v>X</v>
      </c>
      <c r="AH619" s="176">
        <f t="shared" si="526"/>
        <v>20.95</v>
      </c>
    </row>
    <row r="620" spans="2:34" ht="16.5" outlineLevel="1" x14ac:dyDescent="0.25">
      <c r="B620" s="175" t="s">
        <v>2594</v>
      </c>
      <c r="C620" s="176">
        <v>61.84</v>
      </c>
      <c r="D620" s="176">
        <v>60.36</v>
      </c>
      <c r="E620" s="194">
        <v>3</v>
      </c>
      <c r="F620" s="194">
        <v>0</v>
      </c>
      <c r="G620" s="194">
        <f t="shared" si="508"/>
        <v>3</v>
      </c>
      <c r="H620" s="176"/>
      <c r="I620" s="178" t="str">
        <f t="shared" si="509"/>
        <v>X</v>
      </c>
      <c r="J620" s="176">
        <f t="shared" si="510"/>
        <v>181.07999999999998</v>
      </c>
      <c r="K620" s="178" t="str">
        <f t="shared" si="511"/>
        <v xml:space="preserve"> </v>
      </c>
      <c r="L620" s="176">
        <f t="shared" si="512"/>
        <v>0</v>
      </c>
      <c r="M620" s="178" t="str">
        <f t="shared" si="513"/>
        <v>X</v>
      </c>
      <c r="N620" s="177">
        <f t="shared" si="514"/>
        <v>181.07999999999998</v>
      </c>
      <c r="O620" s="178" t="str">
        <f t="shared" si="515"/>
        <v xml:space="preserve"> </v>
      </c>
      <c r="P620" s="176">
        <f>IF(L620&gt;0,L620,0)</f>
        <v>0</v>
      </c>
      <c r="Q620" s="178" t="s">
        <v>0</v>
      </c>
      <c r="R620" s="176"/>
      <c r="S620" s="178" t="s">
        <v>2578</v>
      </c>
      <c r="T620" s="178" t="str">
        <f t="shared" si="516"/>
        <v>X</v>
      </c>
      <c r="U620" s="176">
        <f t="shared" si="527"/>
        <v>181.07999999999998</v>
      </c>
      <c r="V620" s="178" t="str">
        <f t="shared" si="517"/>
        <v xml:space="preserve"> </v>
      </c>
      <c r="W620" s="176">
        <f t="shared" si="528"/>
        <v>0</v>
      </c>
      <c r="X620" s="178" t="str">
        <f t="shared" si="518"/>
        <v xml:space="preserve"> </v>
      </c>
      <c r="Y620" s="176">
        <f t="shared" si="529"/>
        <v>0</v>
      </c>
      <c r="Z620" s="178" t="s">
        <v>2582</v>
      </c>
      <c r="AA620" s="178" t="str">
        <f t="shared" si="519"/>
        <v xml:space="preserve"> </v>
      </c>
      <c r="AB620" s="176">
        <f t="shared" si="520"/>
        <v>0</v>
      </c>
      <c r="AC620" s="178" t="str">
        <f t="shared" si="521"/>
        <v>X</v>
      </c>
      <c r="AD620" s="176">
        <f t="shared" si="522"/>
        <v>61.84</v>
      </c>
      <c r="AE620" s="178" t="str">
        <f t="shared" si="523"/>
        <v xml:space="preserve"> </v>
      </c>
      <c r="AF620" s="176">
        <f t="shared" si="524"/>
        <v>0</v>
      </c>
      <c r="AG620" s="178" t="str">
        <f t="shared" si="525"/>
        <v>X</v>
      </c>
      <c r="AH620" s="176">
        <f t="shared" si="526"/>
        <v>60.36</v>
      </c>
    </row>
    <row r="621" spans="2:34" ht="16.5" outlineLevel="1" x14ac:dyDescent="0.25">
      <c r="B621" s="175" t="s">
        <v>2644</v>
      </c>
      <c r="C621" s="176">
        <v>28.36</v>
      </c>
      <c r="D621" s="176">
        <v>22.06</v>
      </c>
      <c r="E621" s="194">
        <v>3</v>
      </c>
      <c r="F621" s="194">
        <v>0</v>
      </c>
      <c r="G621" s="194">
        <f t="shared" si="508"/>
        <v>3</v>
      </c>
      <c r="H621" s="176"/>
      <c r="I621" s="178" t="str">
        <f t="shared" si="509"/>
        <v>X</v>
      </c>
      <c r="J621" s="176">
        <f t="shared" si="510"/>
        <v>66.179999999999993</v>
      </c>
      <c r="K621" s="178" t="str">
        <f t="shared" si="511"/>
        <v xml:space="preserve"> </v>
      </c>
      <c r="L621" s="176">
        <f t="shared" si="512"/>
        <v>0</v>
      </c>
      <c r="M621" s="178" t="str">
        <f t="shared" si="513"/>
        <v>X</v>
      </c>
      <c r="N621" s="177">
        <f t="shared" si="514"/>
        <v>66.179999999999993</v>
      </c>
      <c r="O621" s="178" t="str">
        <f t="shared" si="515"/>
        <v xml:space="preserve"> </v>
      </c>
      <c r="P621" s="176">
        <v>1</v>
      </c>
      <c r="Q621" s="178" t="s">
        <v>0</v>
      </c>
      <c r="R621" s="176"/>
      <c r="S621" s="178" t="s">
        <v>2578</v>
      </c>
      <c r="T621" s="178" t="str">
        <f t="shared" si="516"/>
        <v>X</v>
      </c>
      <c r="U621" s="176">
        <f t="shared" si="527"/>
        <v>66.179999999999993</v>
      </c>
      <c r="V621" s="178" t="str">
        <f t="shared" si="517"/>
        <v xml:space="preserve"> </v>
      </c>
      <c r="W621" s="176">
        <f t="shared" si="528"/>
        <v>0</v>
      </c>
      <c r="X621" s="178" t="str">
        <f t="shared" si="518"/>
        <v xml:space="preserve"> </v>
      </c>
      <c r="Y621" s="176">
        <f t="shared" si="529"/>
        <v>0</v>
      </c>
      <c r="Z621" s="178" t="s">
        <v>2581</v>
      </c>
      <c r="AA621" s="178" t="str">
        <f t="shared" si="519"/>
        <v>X</v>
      </c>
      <c r="AB621" s="176">
        <f t="shared" si="520"/>
        <v>28.36</v>
      </c>
      <c r="AC621" s="178" t="str">
        <f t="shared" si="521"/>
        <v xml:space="preserve"> </v>
      </c>
      <c r="AD621" s="176">
        <f t="shared" si="522"/>
        <v>0</v>
      </c>
      <c r="AE621" s="178" t="str">
        <f t="shared" si="523"/>
        <v xml:space="preserve"> </v>
      </c>
      <c r="AF621" s="176">
        <f t="shared" si="524"/>
        <v>0</v>
      </c>
      <c r="AG621" s="178" t="str">
        <f t="shared" si="525"/>
        <v>X</v>
      </c>
      <c r="AH621" s="176">
        <f t="shared" si="526"/>
        <v>22.06</v>
      </c>
    </row>
    <row r="622" spans="2:34" ht="16.5" outlineLevel="1" x14ac:dyDescent="0.25">
      <c r="B622" s="175" t="s">
        <v>2645</v>
      </c>
      <c r="C622" s="176">
        <v>5.18</v>
      </c>
      <c r="D622" s="176">
        <v>9.99</v>
      </c>
      <c r="E622" s="194">
        <v>3</v>
      </c>
      <c r="F622" s="194">
        <v>2.1</v>
      </c>
      <c r="G622" s="194">
        <f t="shared" si="508"/>
        <v>0.89999999999999991</v>
      </c>
      <c r="H622" s="176"/>
      <c r="I622" s="178" t="str">
        <f t="shared" si="509"/>
        <v>X</v>
      </c>
      <c r="J622" s="176">
        <f t="shared" si="510"/>
        <v>29.97</v>
      </c>
      <c r="K622" s="178" t="str">
        <f t="shared" si="511"/>
        <v>X</v>
      </c>
      <c r="L622" s="176">
        <f t="shared" si="512"/>
        <v>20.979000000000003</v>
      </c>
      <c r="M622" s="178" t="str">
        <f t="shared" si="513"/>
        <v>X</v>
      </c>
      <c r="N622" s="177">
        <f t="shared" si="514"/>
        <v>8.9909999999999961</v>
      </c>
      <c r="O622" s="178" t="str">
        <f t="shared" si="515"/>
        <v>X</v>
      </c>
      <c r="P622" s="176">
        <f>IF(L622&gt;0,L622,0)</f>
        <v>20.979000000000003</v>
      </c>
      <c r="Q622" s="178" t="s">
        <v>0</v>
      </c>
      <c r="R622" s="176"/>
      <c r="S622" s="178" t="s">
        <v>2578</v>
      </c>
      <c r="T622" s="178" t="str">
        <f t="shared" si="516"/>
        <v>X</v>
      </c>
      <c r="U622" s="176">
        <f t="shared" si="527"/>
        <v>8.9909999999999961</v>
      </c>
      <c r="V622" s="178" t="str">
        <f t="shared" si="517"/>
        <v xml:space="preserve"> </v>
      </c>
      <c r="W622" s="176">
        <f t="shared" si="528"/>
        <v>0</v>
      </c>
      <c r="X622" s="178" t="str">
        <f t="shared" si="518"/>
        <v xml:space="preserve"> </v>
      </c>
      <c r="Y622" s="176">
        <f t="shared" si="529"/>
        <v>0</v>
      </c>
      <c r="Z622" s="178" t="s">
        <v>2581</v>
      </c>
      <c r="AA622" s="178" t="str">
        <f t="shared" si="519"/>
        <v>X</v>
      </c>
      <c r="AB622" s="176">
        <f t="shared" si="520"/>
        <v>5.18</v>
      </c>
      <c r="AC622" s="178" t="str">
        <f t="shared" si="521"/>
        <v xml:space="preserve"> </v>
      </c>
      <c r="AD622" s="176">
        <f t="shared" si="522"/>
        <v>0</v>
      </c>
      <c r="AE622" s="178" t="str">
        <f t="shared" si="523"/>
        <v xml:space="preserve"> </v>
      </c>
      <c r="AF622" s="176">
        <f t="shared" si="524"/>
        <v>0</v>
      </c>
      <c r="AG622" s="178" t="str">
        <f t="shared" si="525"/>
        <v/>
      </c>
      <c r="AH622" s="176">
        <f t="shared" si="526"/>
        <v>0</v>
      </c>
    </row>
    <row r="623" spans="2:34" ht="16.5" outlineLevel="1" x14ac:dyDescent="0.25">
      <c r="B623" s="175" t="s">
        <v>2646</v>
      </c>
      <c r="C623" s="176">
        <v>28.45</v>
      </c>
      <c r="D623" s="176">
        <v>22.12</v>
      </c>
      <c r="E623" s="194">
        <v>3</v>
      </c>
      <c r="F623" s="194">
        <v>0</v>
      </c>
      <c r="G623" s="194">
        <f t="shared" si="508"/>
        <v>3</v>
      </c>
      <c r="H623" s="176"/>
      <c r="I623" s="178" t="str">
        <f t="shared" si="509"/>
        <v>X</v>
      </c>
      <c r="J623" s="176">
        <f t="shared" si="510"/>
        <v>66.36</v>
      </c>
      <c r="K623" s="178" t="str">
        <f t="shared" si="511"/>
        <v xml:space="preserve"> </v>
      </c>
      <c r="L623" s="176">
        <f t="shared" si="512"/>
        <v>0</v>
      </c>
      <c r="M623" s="178" t="str">
        <f t="shared" si="513"/>
        <v>X</v>
      </c>
      <c r="N623" s="177">
        <f t="shared" si="514"/>
        <v>66.36</v>
      </c>
      <c r="O623" s="178" t="str">
        <f t="shared" si="515"/>
        <v xml:space="preserve"> </v>
      </c>
      <c r="P623" s="176">
        <v>1</v>
      </c>
      <c r="Q623" s="178" t="s">
        <v>0</v>
      </c>
      <c r="R623" s="176"/>
      <c r="S623" s="178" t="s">
        <v>2578</v>
      </c>
      <c r="T623" s="178" t="str">
        <f t="shared" si="516"/>
        <v>X</v>
      </c>
      <c r="U623" s="176">
        <f t="shared" si="527"/>
        <v>66.36</v>
      </c>
      <c r="V623" s="178" t="str">
        <f t="shared" si="517"/>
        <v xml:space="preserve"> </v>
      </c>
      <c r="W623" s="176">
        <f t="shared" si="528"/>
        <v>0</v>
      </c>
      <c r="X623" s="178" t="str">
        <f t="shared" si="518"/>
        <v xml:space="preserve"> </v>
      </c>
      <c r="Y623" s="176">
        <f t="shared" si="529"/>
        <v>0</v>
      </c>
      <c r="Z623" s="178" t="s">
        <v>2581</v>
      </c>
      <c r="AA623" s="178" t="str">
        <f t="shared" si="519"/>
        <v>X</v>
      </c>
      <c r="AB623" s="176">
        <f t="shared" si="520"/>
        <v>28.45</v>
      </c>
      <c r="AC623" s="178" t="str">
        <f t="shared" si="521"/>
        <v xml:space="preserve"> </v>
      </c>
      <c r="AD623" s="176">
        <f t="shared" si="522"/>
        <v>0</v>
      </c>
      <c r="AE623" s="178" t="str">
        <f t="shared" si="523"/>
        <v xml:space="preserve"> </v>
      </c>
      <c r="AF623" s="176">
        <f t="shared" si="524"/>
        <v>0</v>
      </c>
      <c r="AG623" s="178" t="str">
        <f t="shared" si="525"/>
        <v>X</v>
      </c>
      <c r="AH623" s="176">
        <f t="shared" si="526"/>
        <v>22.12</v>
      </c>
    </row>
    <row r="624" spans="2:34" ht="16.5" outlineLevel="1" x14ac:dyDescent="0.25">
      <c r="B624" s="175" t="s">
        <v>2647</v>
      </c>
      <c r="C624" s="176">
        <v>5.18</v>
      </c>
      <c r="D624" s="176">
        <v>9.99</v>
      </c>
      <c r="E624" s="194">
        <v>3</v>
      </c>
      <c r="F624" s="194">
        <v>2.1</v>
      </c>
      <c r="G624" s="194">
        <f t="shared" si="508"/>
        <v>0.89999999999999991</v>
      </c>
      <c r="H624" s="176"/>
      <c r="I624" s="178" t="str">
        <f t="shared" si="509"/>
        <v>X</v>
      </c>
      <c r="J624" s="176">
        <f t="shared" si="510"/>
        <v>29.97</v>
      </c>
      <c r="K624" s="178" t="str">
        <f t="shared" si="511"/>
        <v>X</v>
      </c>
      <c r="L624" s="176">
        <f t="shared" si="512"/>
        <v>20.979000000000003</v>
      </c>
      <c r="M624" s="178" t="str">
        <f t="shared" si="513"/>
        <v>X</v>
      </c>
      <c r="N624" s="177">
        <f t="shared" si="514"/>
        <v>8.9909999999999961</v>
      </c>
      <c r="O624" s="178" t="str">
        <f t="shared" si="515"/>
        <v>X</v>
      </c>
      <c r="P624" s="176">
        <f>IF(L624&gt;0,L624,0)</f>
        <v>20.979000000000003</v>
      </c>
      <c r="Q624" s="178" t="s">
        <v>0</v>
      </c>
      <c r="R624" s="176"/>
      <c r="S624" s="178" t="s">
        <v>2578</v>
      </c>
      <c r="T624" s="178" t="str">
        <f t="shared" si="516"/>
        <v>X</v>
      </c>
      <c r="U624" s="176">
        <f t="shared" si="527"/>
        <v>8.9909999999999961</v>
      </c>
      <c r="V624" s="178" t="str">
        <f t="shared" si="517"/>
        <v xml:space="preserve"> </v>
      </c>
      <c r="W624" s="176">
        <f t="shared" si="528"/>
        <v>0</v>
      </c>
      <c r="X624" s="178" t="str">
        <f t="shared" si="518"/>
        <v xml:space="preserve"> </v>
      </c>
      <c r="Y624" s="176">
        <f t="shared" si="529"/>
        <v>0</v>
      </c>
      <c r="Z624" s="178" t="s">
        <v>2581</v>
      </c>
      <c r="AA624" s="178" t="str">
        <f t="shared" si="519"/>
        <v>X</v>
      </c>
      <c r="AB624" s="176">
        <f t="shared" si="520"/>
        <v>5.18</v>
      </c>
      <c r="AC624" s="178" t="str">
        <f t="shared" si="521"/>
        <v xml:space="preserve"> </v>
      </c>
      <c r="AD624" s="176">
        <f t="shared" si="522"/>
        <v>0</v>
      </c>
      <c r="AE624" s="178" t="str">
        <f t="shared" si="523"/>
        <v xml:space="preserve"> </v>
      </c>
      <c r="AF624" s="176">
        <f t="shared" si="524"/>
        <v>0</v>
      </c>
      <c r="AG624" s="178" t="str">
        <f t="shared" si="525"/>
        <v/>
      </c>
      <c r="AH624" s="176">
        <f t="shared" si="526"/>
        <v>0</v>
      </c>
    </row>
    <row r="625" spans="2:34" ht="16.5" outlineLevel="1" x14ac:dyDescent="0.25">
      <c r="B625" s="175" t="s">
        <v>2677</v>
      </c>
      <c r="C625" s="176">
        <v>24.23</v>
      </c>
      <c r="D625" s="176">
        <v>20.55</v>
      </c>
      <c r="E625" s="194">
        <v>3</v>
      </c>
      <c r="F625" s="194">
        <v>0</v>
      </c>
      <c r="G625" s="194">
        <f t="shared" si="508"/>
        <v>3</v>
      </c>
      <c r="H625" s="176"/>
      <c r="I625" s="178" t="str">
        <f t="shared" si="509"/>
        <v>X</v>
      </c>
      <c r="J625" s="176">
        <f t="shared" si="510"/>
        <v>61.650000000000006</v>
      </c>
      <c r="K625" s="178" t="str">
        <f t="shared" si="511"/>
        <v xml:space="preserve"> </v>
      </c>
      <c r="L625" s="176">
        <f t="shared" si="512"/>
        <v>0</v>
      </c>
      <c r="M625" s="178" t="str">
        <f t="shared" si="513"/>
        <v>X</v>
      </c>
      <c r="N625" s="177">
        <f t="shared" si="514"/>
        <v>61.650000000000006</v>
      </c>
      <c r="O625" s="178" t="str">
        <f t="shared" si="515"/>
        <v xml:space="preserve"> </v>
      </c>
      <c r="P625" s="176">
        <v>1</v>
      </c>
      <c r="Q625" s="178" t="s">
        <v>0</v>
      </c>
      <c r="R625" s="176"/>
      <c r="S625" s="178" t="s">
        <v>2578</v>
      </c>
      <c r="T625" s="178" t="str">
        <f t="shared" si="516"/>
        <v>X</v>
      </c>
      <c r="U625" s="176">
        <f t="shared" si="527"/>
        <v>61.650000000000006</v>
      </c>
      <c r="V625" s="178" t="str">
        <f t="shared" si="517"/>
        <v xml:space="preserve"> </v>
      </c>
      <c r="W625" s="176">
        <f t="shared" si="528"/>
        <v>0</v>
      </c>
      <c r="X625" s="178" t="str">
        <f t="shared" si="518"/>
        <v xml:space="preserve"> </v>
      </c>
      <c r="Y625" s="176">
        <f t="shared" si="529"/>
        <v>0</v>
      </c>
      <c r="Z625" s="178" t="s">
        <v>2581</v>
      </c>
      <c r="AA625" s="178" t="str">
        <f t="shared" si="519"/>
        <v>X</v>
      </c>
      <c r="AB625" s="176">
        <f t="shared" si="520"/>
        <v>24.23</v>
      </c>
      <c r="AC625" s="178" t="str">
        <f t="shared" si="521"/>
        <v xml:space="preserve"> </v>
      </c>
      <c r="AD625" s="176">
        <f t="shared" si="522"/>
        <v>0</v>
      </c>
      <c r="AE625" s="178" t="str">
        <f t="shared" si="523"/>
        <v xml:space="preserve"> </v>
      </c>
      <c r="AF625" s="176">
        <f t="shared" si="524"/>
        <v>0</v>
      </c>
      <c r="AG625" s="178" t="str">
        <f t="shared" si="525"/>
        <v>X</v>
      </c>
      <c r="AH625" s="176">
        <f t="shared" si="526"/>
        <v>20.55</v>
      </c>
    </row>
    <row r="626" spans="2:34" ht="16.5" outlineLevel="1" x14ac:dyDescent="0.25">
      <c r="B626" s="175" t="s">
        <v>2678</v>
      </c>
      <c r="C626" s="176">
        <v>5.71</v>
      </c>
      <c r="D626" s="176">
        <v>10.6</v>
      </c>
      <c r="E626" s="194">
        <v>3</v>
      </c>
      <c r="F626" s="194">
        <v>2.1</v>
      </c>
      <c r="G626" s="194">
        <f t="shared" si="508"/>
        <v>0.89999999999999991</v>
      </c>
      <c r="H626" s="176"/>
      <c r="I626" s="178" t="str">
        <f t="shared" si="509"/>
        <v>X</v>
      </c>
      <c r="J626" s="176">
        <f t="shared" si="510"/>
        <v>31.799999999999997</v>
      </c>
      <c r="K626" s="178" t="str">
        <f t="shared" si="511"/>
        <v>X</v>
      </c>
      <c r="L626" s="176">
        <f t="shared" si="512"/>
        <v>22.26</v>
      </c>
      <c r="M626" s="178" t="str">
        <f t="shared" si="513"/>
        <v>X</v>
      </c>
      <c r="N626" s="177">
        <f t="shared" si="514"/>
        <v>9.5399999999999956</v>
      </c>
      <c r="O626" s="178" t="str">
        <f t="shared" si="515"/>
        <v>X</v>
      </c>
      <c r="P626" s="176">
        <f>IF(L626&gt;0,L626,0)</f>
        <v>22.26</v>
      </c>
      <c r="Q626" s="178" t="s">
        <v>0</v>
      </c>
      <c r="R626" s="176"/>
      <c r="S626" s="178" t="s">
        <v>2578</v>
      </c>
      <c r="T626" s="178" t="str">
        <f t="shared" si="516"/>
        <v>X</v>
      </c>
      <c r="U626" s="176">
        <f t="shared" si="527"/>
        <v>9.5399999999999956</v>
      </c>
      <c r="V626" s="178" t="str">
        <f t="shared" si="517"/>
        <v xml:space="preserve"> </v>
      </c>
      <c r="W626" s="176">
        <f t="shared" si="528"/>
        <v>0</v>
      </c>
      <c r="X626" s="178" t="str">
        <f t="shared" si="518"/>
        <v xml:space="preserve"> </v>
      </c>
      <c r="Y626" s="176">
        <f t="shared" si="529"/>
        <v>0</v>
      </c>
      <c r="Z626" s="178" t="s">
        <v>2581</v>
      </c>
      <c r="AA626" s="178" t="str">
        <f t="shared" si="519"/>
        <v>X</v>
      </c>
      <c r="AB626" s="176">
        <f t="shared" si="520"/>
        <v>5.71</v>
      </c>
      <c r="AC626" s="178" t="str">
        <f t="shared" si="521"/>
        <v xml:space="preserve"> </v>
      </c>
      <c r="AD626" s="176">
        <f t="shared" si="522"/>
        <v>0</v>
      </c>
      <c r="AE626" s="178" t="str">
        <f t="shared" si="523"/>
        <v xml:space="preserve"> </v>
      </c>
      <c r="AF626" s="176">
        <f t="shared" si="524"/>
        <v>0</v>
      </c>
      <c r="AG626" s="178" t="str">
        <f t="shared" si="525"/>
        <v/>
      </c>
      <c r="AH626" s="176">
        <f t="shared" si="526"/>
        <v>0</v>
      </c>
    </row>
    <row r="627" spans="2:34" ht="16.5" outlineLevel="1" x14ac:dyDescent="0.25">
      <c r="B627" s="175" t="s">
        <v>2598</v>
      </c>
      <c r="C627" s="176">
        <v>3.28</v>
      </c>
      <c r="D627" s="176">
        <v>7.54</v>
      </c>
      <c r="E627" s="194">
        <v>3</v>
      </c>
      <c r="F627" s="194">
        <v>0</v>
      </c>
      <c r="G627" s="194">
        <f t="shared" si="508"/>
        <v>3</v>
      </c>
      <c r="H627" s="176"/>
      <c r="I627" s="178" t="str">
        <f t="shared" si="509"/>
        <v>X</v>
      </c>
      <c r="J627" s="176">
        <f t="shared" si="510"/>
        <v>22.62</v>
      </c>
      <c r="K627" s="178" t="str">
        <f t="shared" si="511"/>
        <v xml:space="preserve"> </v>
      </c>
      <c r="L627" s="176">
        <f t="shared" si="512"/>
        <v>0</v>
      </c>
      <c r="M627" s="178" t="str">
        <f t="shared" si="513"/>
        <v>X</v>
      </c>
      <c r="N627" s="177">
        <f t="shared" si="514"/>
        <v>22.62</v>
      </c>
      <c r="O627" s="178" t="str">
        <f t="shared" si="515"/>
        <v xml:space="preserve"> </v>
      </c>
      <c r="P627" s="176">
        <v>1</v>
      </c>
      <c r="Q627" s="178" t="s">
        <v>0</v>
      </c>
      <c r="R627" s="176"/>
      <c r="S627" s="178" t="s">
        <v>2578</v>
      </c>
      <c r="T627" s="178" t="str">
        <f t="shared" si="516"/>
        <v>X</v>
      </c>
      <c r="U627" s="176">
        <f t="shared" si="527"/>
        <v>22.62</v>
      </c>
      <c r="V627" s="178" t="str">
        <f t="shared" si="517"/>
        <v xml:space="preserve"> </v>
      </c>
      <c r="W627" s="176">
        <f t="shared" si="528"/>
        <v>0</v>
      </c>
      <c r="X627" s="178" t="str">
        <f t="shared" si="518"/>
        <v xml:space="preserve"> </v>
      </c>
      <c r="Y627" s="176">
        <f t="shared" si="529"/>
        <v>0</v>
      </c>
      <c r="Z627" s="178" t="s">
        <v>2581</v>
      </c>
      <c r="AA627" s="178" t="str">
        <f t="shared" si="519"/>
        <v>X</v>
      </c>
      <c r="AB627" s="176">
        <f t="shared" si="520"/>
        <v>3.28</v>
      </c>
      <c r="AC627" s="178" t="str">
        <f t="shared" si="521"/>
        <v xml:space="preserve"> </v>
      </c>
      <c r="AD627" s="176">
        <f t="shared" si="522"/>
        <v>0</v>
      </c>
      <c r="AE627" s="178" t="str">
        <f t="shared" si="523"/>
        <v xml:space="preserve"> </v>
      </c>
      <c r="AF627" s="176">
        <f t="shared" si="524"/>
        <v>0</v>
      </c>
      <c r="AG627" s="178" t="str">
        <f t="shared" si="525"/>
        <v>X</v>
      </c>
      <c r="AH627" s="176">
        <f t="shared" si="526"/>
        <v>7.54</v>
      </c>
    </row>
    <row r="628" spans="2:34" ht="16.5" outlineLevel="1" x14ac:dyDescent="0.25">
      <c r="B628" s="175" t="s">
        <v>2648</v>
      </c>
      <c r="C628" s="176">
        <v>28.92</v>
      </c>
      <c r="D628" s="176">
        <v>22.31</v>
      </c>
      <c r="E628" s="194">
        <v>3</v>
      </c>
      <c r="F628" s="194">
        <v>0</v>
      </c>
      <c r="G628" s="194">
        <f t="shared" si="508"/>
        <v>3</v>
      </c>
      <c r="H628" s="176"/>
      <c r="I628" s="178" t="str">
        <f t="shared" si="509"/>
        <v>X</v>
      </c>
      <c r="J628" s="176">
        <f t="shared" si="510"/>
        <v>66.929999999999993</v>
      </c>
      <c r="K628" s="178" t="str">
        <f t="shared" si="511"/>
        <v xml:space="preserve"> </v>
      </c>
      <c r="L628" s="176">
        <f t="shared" si="512"/>
        <v>0</v>
      </c>
      <c r="M628" s="178" t="str">
        <f t="shared" si="513"/>
        <v>X</v>
      </c>
      <c r="N628" s="177">
        <f t="shared" si="514"/>
        <v>66.929999999999993</v>
      </c>
      <c r="O628" s="178" t="str">
        <f t="shared" si="515"/>
        <v xml:space="preserve"> </v>
      </c>
      <c r="P628" s="176">
        <v>1</v>
      </c>
      <c r="Q628" s="178" t="s">
        <v>0</v>
      </c>
      <c r="R628" s="176"/>
      <c r="S628" s="178" t="s">
        <v>2578</v>
      </c>
      <c r="T628" s="178" t="str">
        <f t="shared" si="516"/>
        <v>X</v>
      </c>
      <c r="U628" s="176">
        <f t="shared" si="527"/>
        <v>66.929999999999993</v>
      </c>
      <c r="V628" s="178" t="str">
        <f t="shared" si="517"/>
        <v xml:space="preserve"> </v>
      </c>
      <c r="W628" s="176">
        <f t="shared" si="528"/>
        <v>0</v>
      </c>
      <c r="X628" s="178" t="str">
        <f t="shared" si="518"/>
        <v xml:space="preserve"> </v>
      </c>
      <c r="Y628" s="176">
        <f t="shared" si="529"/>
        <v>0</v>
      </c>
      <c r="Z628" s="178" t="s">
        <v>2581</v>
      </c>
      <c r="AA628" s="178" t="str">
        <f t="shared" si="519"/>
        <v>X</v>
      </c>
      <c r="AB628" s="176">
        <f t="shared" si="520"/>
        <v>28.92</v>
      </c>
      <c r="AC628" s="178" t="str">
        <f t="shared" si="521"/>
        <v xml:space="preserve"> </v>
      </c>
      <c r="AD628" s="176">
        <f t="shared" si="522"/>
        <v>0</v>
      </c>
      <c r="AE628" s="178" t="str">
        <f t="shared" si="523"/>
        <v xml:space="preserve"> </v>
      </c>
      <c r="AF628" s="176">
        <f t="shared" si="524"/>
        <v>0</v>
      </c>
      <c r="AG628" s="178" t="str">
        <f t="shared" si="525"/>
        <v>X</v>
      </c>
      <c r="AH628" s="176">
        <f t="shared" si="526"/>
        <v>22.31</v>
      </c>
    </row>
    <row r="629" spans="2:34" ht="16.5" outlineLevel="1" x14ac:dyDescent="0.25">
      <c r="B629" s="175" t="s">
        <v>2649</v>
      </c>
      <c r="C629" s="176">
        <v>5.18</v>
      </c>
      <c r="D629" s="176">
        <v>9.99</v>
      </c>
      <c r="E629" s="194">
        <v>3</v>
      </c>
      <c r="F629" s="194">
        <v>2.1</v>
      </c>
      <c r="G629" s="194">
        <f t="shared" si="508"/>
        <v>0.89999999999999991</v>
      </c>
      <c r="H629" s="176"/>
      <c r="I629" s="178" t="str">
        <f t="shared" si="509"/>
        <v>X</v>
      </c>
      <c r="J629" s="176">
        <f t="shared" si="510"/>
        <v>29.97</v>
      </c>
      <c r="K629" s="178" t="str">
        <f t="shared" si="511"/>
        <v>X</v>
      </c>
      <c r="L629" s="176">
        <f t="shared" si="512"/>
        <v>20.979000000000003</v>
      </c>
      <c r="M629" s="178" t="str">
        <f t="shared" si="513"/>
        <v>X</v>
      </c>
      <c r="N629" s="177">
        <f t="shared" si="514"/>
        <v>8.9909999999999961</v>
      </c>
      <c r="O629" s="178" t="str">
        <f t="shared" si="515"/>
        <v>X</v>
      </c>
      <c r="P629" s="176">
        <f>IF(L629&gt;0,L629,0)</f>
        <v>20.979000000000003</v>
      </c>
      <c r="Q629" s="178" t="s">
        <v>0</v>
      </c>
      <c r="R629" s="176"/>
      <c r="S629" s="178" t="s">
        <v>2578</v>
      </c>
      <c r="T629" s="178" t="str">
        <f t="shared" si="516"/>
        <v>X</v>
      </c>
      <c r="U629" s="176">
        <f t="shared" si="527"/>
        <v>8.9909999999999961</v>
      </c>
      <c r="V629" s="178" t="str">
        <f t="shared" si="517"/>
        <v xml:space="preserve"> </v>
      </c>
      <c r="W629" s="176">
        <f t="shared" si="528"/>
        <v>0</v>
      </c>
      <c r="X629" s="178" t="str">
        <f t="shared" si="518"/>
        <v xml:space="preserve"> </v>
      </c>
      <c r="Y629" s="176">
        <f t="shared" si="529"/>
        <v>0</v>
      </c>
      <c r="Z629" s="178" t="s">
        <v>2581</v>
      </c>
      <c r="AA629" s="178" t="str">
        <f t="shared" si="519"/>
        <v>X</v>
      </c>
      <c r="AB629" s="176">
        <f t="shared" si="520"/>
        <v>5.18</v>
      </c>
      <c r="AC629" s="178" t="str">
        <f t="shared" si="521"/>
        <v xml:space="preserve"> </v>
      </c>
      <c r="AD629" s="176">
        <f t="shared" si="522"/>
        <v>0</v>
      </c>
      <c r="AE629" s="178" t="str">
        <f t="shared" si="523"/>
        <v xml:space="preserve"> </v>
      </c>
      <c r="AF629" s="176">
        <f t="shared" si="524"/>
        <v>0</v>
      </c>
      <c r="AG629" s="178" t="str">
        <f t="shared" si="525"/>
        <v/>
      </c>
      <c r="AH629" s="176">
        <f t="shared" si="526"/>
        <v>0</v>
      </c>
    </row>
    <row r="630" spans="2:34" ht="16.5" x14ac:dyDescent="0.25">
      <c r="B630" s="182"/>
      <c r="C630" s="185"/>
      <c r="D630" s="185"/>
      <c r="E630" s="185"/>
      <c r="F630" s="185"/>
      <c r="G630" s="185"/>
      <c r="H630" s="185"/>
      <c r="I630" s="184"/>
      <c r="J630" s="185"/>
      <c r="K630" s="184"/>
      <c r="L630" s="185"/>
      <c r="M630" s="184"/>
      <c r="N630" s="185" t="str">
        <f>IF(M630="x",C630,"")</f>
        <v/>
      </c>
      <c r="O630" s="201"/>
      <c r="P630" s="185"/>
      <c r="Q630" s="184"/>
      <c r="R630" s="189"/>
      <c r="S630" s="185"/>
      <c r="T630" s="184"/>
      <c r="U630" s="185"/>
      <c r="V630" s="184"/>
      <c r="W630" s="185"/>
      <c r="X630" s="184"/>
      <c r="Y630" s="189"/>
      <c r="Z630" s="185"/>
      <c r="AA630" s="184"/>
      <c r="AB630" s="185"/>
      <c r="AC630" s="184"/>
      <c r="AD630" s="185"/>
      <c r="AE630" s="184"/>
      <c r="AF630" s="189"/>
      <c r="AG630" s="184"/>
      <c r="AH630" s="189"/>
    </row>
    <row r="631" spans="2:34" ht="16.5" x14ac:dyDescent="0.25">
      <c r="B631" s="195" t="s">
        <v>2856</v>
      </c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7"/>
      <c r="S631" s="196"/>
      <c r="T631" s="196"/>
      <c r="U631" s="196"/>
      <c r="V631" s="196"/>
      <c r="W631" s="196"/>
      <c r="X631" s="196"/>
      <c r="Y631" s="197"/>
      <c r="Z631" s="196"/>
      <c r="AA631" s="196"/>
      <c r="AB631" s="196"/>
      <c r="AC631" s="196"/>
      <c r="AD631" s="196"/>
      <c r="AE631" s="196"/>
      <c r="AF631" s="197"/>
      <c r="AG631" s="196"/>
      <c r="AH631" s="197"/>
    </row>
    <row r="632" spans="2:34" ht="16.5" x14ac:dyDescent="0.25">
      <c r="B632" s="929" t="s">
        <v>2543</v>
      </c>
      <c r="C632" s="930"/>
      <c r="D632" s="930"/>
      <c r="E632" s="930"/>
      <c r="F632" s="930"/>
      <c r="G632" s="930"/>
      <c r="H632" s="931"/>
      <c r="I632" s="190" t="s">
        <v>2586</v>
      </c>
      <c r="J632" s="191">
        <f>SUBTOTAL(9,J633:J634)</f>
        <v>315.63000000000005</v>
      </c>
      <c r="K632" s="192" t="s">
        <v>2586</v>
      </c>
      <c r="L632" s="191">
        <f>SUBTOTAL(9,L633:L634)</f>
        <v>0</v>
      </c>
      <c r="M632" s="190" t="s">
        <v>2586</v>
      </c>
      <c r="N632" s="200">
        <f>SUBTOTAL(9,N633:N634)</f>
        <v>315.63000000000005</v>
      </c>
      <c r="O632" s="190" t="s">
        <v>2586</v>
      </c>
      <c r="P632" s="191">
        <f>SUBTOTAL(9,P633:P634)</f>
        <v>0</v>
      </c>
      <c r="Q632" s="190" t="s">
        <v>2586</v>
      </c>
      <c r="R632" s="191">
        <f>SUBTOTAL(9,R633:R634)</f>
        <v>0</v>
      </c>
      <c r="S632" s="191"/>
      <c r="T632" s="190" t="s">
        <v>2586</v>
      </c>
      <c r="U632" s="200">
        <f>SUBTOTAL(9,U633:U634)</f>
        <v>315.63000000000005</v>
      </c>
      <c r="V632" s="190" t="s">
        <v>2586</v>
      </c>
      <c r="W632" s="191">
        <f>SUBTOTAL(9,W633:W634)</f>
        <v>0</v>
      </c>
      <c r="X632" s="190" t="s">
        <v>2586</v>
      </c>
      <c r="Y632" s="191">
        <f>SUBTOTAL(9,Y633:Y634)</f>
        <v>0</v>
      </c>
      <c r="Z632" s="191"/>
      <c r="AA632" s="190" t="s">
        <v>2586</v>
      </c>
      <c r="AB632" s="200">
        <f>SUBTOTAL(9,AB633:AB634)</f>
        <v>0</v>
      </c>
      <c r="AC632" s="190" t="s">
        <v>2586</v>
      </c>
      <c r="AD632" s="191">
        <f>SUBTOTAL(9,AD633:AD634)</f>
        <v>0</v>
      </c>
      <c r="AE632" s="190" t="s">
        <v>2586</v>
      </c>
      <c r="AF632" s="191">
        <f>SUBTOTAL(9,AF633:AF634)</f>
        <v>0</v>
      </c>
      <c r="AG632" s="190" t="s">
        <v>2586</v>
      </c>
      <c r="AH632" s="191">
        <f>SUBTOTAL(9,AH633:AH634)</f>
        <v>0</v>
      </c>
    </row>
    <row r="633" spans="2:34" ht="16.5" outlineLevel="1" x14ac:dyDescent="0.25">
      <c r="B633" s="175" t="s">
        <v>2857</v>
      </c>
      <c r="C633" s="176" t="s">
        <v>0</v>
      </c>
      <c r="D633" s="176">
        <v>75.150000000000006</v>
      </c>
      <c r="E633" s="194">
        <v>4.2</v>
      </c>
      <c r="F633" s="194">
        <v>0</v>
      </c>
      <c r="G633" s="194">
        <f>E633-F633</f>
        <v>4.2</v>
      </c>
      <c r="H633" s="176"/>
      <c r="I633" s="178" t="str">
        <f>IF($E633&gt;0,"X"," ")</f>
        <v>X</v>
      </c>
      <c r="J633" s="176">
        <f>IF(I633="X",($D633-H633)*E633,0)</f>
        <v>315.63000000000005</v>
      </c>
      <c r="K633" s="178" t="str">
        <f>IF($F633&gt;0,"X"," ")</f>
        <v xml:space="preserve"> </v>
      </c>
      <c r="L633" s="176">
        <f>IF(K633="X",($D633-H633)*F633,0)</f>
        <v>0</v>
      </c>
      <c r="M633" s="178" t="str">
        <f>IF($E633&gt;0,"X"," ")</f>
        <v>X</v>
      </c>
      <c r="N633" s="177">
        <f>IF(M633="X",J633-L633,0)</f>
        <v>315.63000000000005</v>
      </c>
      <c r="O633" s="178" t="str">
        <f>IF($F633&gt;0,"X"," ")</f>
        <v xml:space="preserve"> </v>
      </c>
      <c r="P633" s="176">
        <f>IF(L633&gt;0,L633,0)</f>
        <v>0</v>
      </c>
      <c r="Q633" s="178" t="s">
        <v>0</v>
      </c>
      <c r="R633" s="176"/>
      <c r="S633" s="178" t="s">
        <v>2578</v>
      </c>
      <c r="T633" s="178" t="str">
        <f>IF($S633="ACRÍLICA","X"," ")</f>
        <v>X</v>
      </c>
      <c r="U633" s="176">
        <f>IF(T633="X",$N633,0)</f>
        <v>315.63000000000005</v>
      </c>
      <c r="V633" s="178" t="str">
        <f>IF($S633="EPÓXI","X"," ")</f>
        <v xml:space="preserve"> </v>
      </c>
      <c r="W633" s="176">
        <f>IF(V633="X",$N633,0)</f>
        <v>0</v>
      </c>
      <c r="X633" s="178" t="str">
        <f>IF($S633="TEXTURA","X"," ")</f>
        <v xml:space="preserve"> </v>
      </c>
      <c r="Y633" s="176">
        <f>IF(X633="X",$N633,0)</f>
        <v>0</v>
      </c>
      <c r="Z633" s="178" t="s">
        <v>2581</v>
      </c>
      <c r="AA633" s="178" t="str">
        <f>IF($Z633="ACARTONADO","X"," ")</f>
        <v>X</v>
      </c>
      <c r="AB633" s="193" t="str">
        <f>IF(AA633="X",$C633,0)</f>
        <v xml:space="preserve"> </v>
      </c>
      <c r="AC633" s="178" t="str">
        <f>IF($Z633="MINERAL","X"," ")</f>
        <v xml:space="preserve"> </v>
      </c>
      <c r="AD633" s="176">
        <f>IF(AC633="X",$C633,0)</f>
        <v>0</v>
      </c>
      <c r="AE633" s="178" t="str">
        <f>IF($Z633="LAJE","X"," ")</f>
        <v xml:space="preserve"> </v>
      </c>
      <c r="AF633" s="176">
        <f>IF(AE633="X",$C633,0)</f>
        <v>0</v>
      </c>
      <c r="AG633" s="178"/>
      <c r="AH633" s="176">
        <f>IF(AG633="X",$D633-H633,0)</f>
        <v>0</v>
      </c>
    </row>
    <row r="634" spans="2:34" ht="16.5" outlineLevel="1" x14ac:dyDescent="0.25">
      <c r="B634" s="175"/>
      <c r="C634" s="176"/>
      <c r="D634" s="176"/>
      <c r="E634" s="194"/>
      <c r="F634" s="194"/>
      <c r="G634" s="194"/>
      <c r="H634" s="176"/>
      <c r="I634" s="178"/>
      <c r="J634" s="176"/>
      <c r="K634" s="178"/>
      <c r="L634" s="176"/>
      <c r="M634" s="178"/>
      <c r="N634" s="177"/>
      <c r="O634" s="178"/>
      <c r="P634" s="176"/>
      <c r="Q634" s="178"/>
      <c r="R634" s="176"/>
      <c r="S634" s="176"/>
      <c r="T634" s="178"/>
      <c r="U634" s="176"/>
      <c r="V634" s="178"/>
      <c r="W634" s="176"/>
      <c r="X634" s="178"/>
      <c r="Y634" s="176"/>
      <c r="Z634" s="176"/>
      <c r="AA634" s="178"/>
      <c r="AB634" s="176"/>
      <c r="AC634" s="178"/>
      <c r="AD634" s="176"/>
      <c r="AE634" s="178"/>
      <c r="AF634" s="176"/>
      <c r="AG634" s="178"/>
      <c r="AH634" s="176"/>
    </row>
    <row r="635" spans="2:34" ht="16.5" x14ac:dyDescent="0.25">
      <c r="B635" s="182"/>
      <c r="C635" s="185"/>
      <c r="D635" s="185"/>
      <c r="E635" s="185"/>
      <c r="F635" s="185"/>
      <c r="G635" s="185"/>
      <c r="H635" s="185"/>
      <c r="I635" s="184"/>
      <c r="J635" s="185"/>
      <c r="K635" s="184"/>
      <c r="L635" s="185"/>
      <c r="M635" s="184"/>
      <c r="N635" s="185"/>
      <c r="O635" s="201"/>
      <c r="P635" s="185"/>
      <c r="Q635" s="184"/>
      <c r="R635" s="189"/>
      <c r="S635" s="185"/>
      <c r="T635" s="184"/>
      <c r="U635" s="185"/>
      <c r="V635" s="184"/>
      <c r="W635" s="185"/>
      <c r="X635" s="184"/>
      <c r="Y635" s="189"/>
      <c r="Z635" s="185"/>
      <c r="AA635" s="184"/>
      <c r="AB635" s="185"/>
      <c r="AC635" s="184"/>
      <c r="AD635" s="185"/>
      <c r="AE635" s="184"/>
      <c r="AF635" s="189"/>
      <c r="AG635" s="184"/>
      <c r="AH635" s="189"/>
    </row>
    <row r="636" spans="2:34" ht="16.5" x14ac:dyDescent="0.25">
      <c r="B636" s="929" t="s">
        <v>2545</v>
      </c>
      <c r="C636" s="930"/>
      <c r="D636" s="930"/>
      <c r="E636" s="930"/>
      <c r="F636" s="930"/>
      <c r="G636" s="930"/>
      <c r="H636" s="931"/>
      <c r="I636" s="190" t="s">
        <v>2586</v>
      </c>
      <c r="J636" s="191">
        <f>SUBTOTAL(9,J637:J638)</f>
        <v>47.460000000000008</v>
      </c>
      <c r="K636" s="192" t="s">
        <v>2586</v>
      </c>
      <c r="L636" s="191">
        <f>SUBTOTAL(9,L637:L638)</f>
        <v>0</v>
      </c>
      <c r="M636" s="190" t="s">
        <v>2586</v>
      </c>
      <c r="N636" s="200">
        <f>SUBTOTAL(9,N637:N638)</f>
        <v>47.460000000000008</v>
      </c>
      <c r="O636" s="190" t="s">
        <v>2586</v>
      </c>
      <c r="P636" s="191">
        <f>SUBTOTAL(9,P637:P638)</f>
        <v>0</v>
      </c>
      <c r="Q636" s="190" t="s">
        <v>2586</v>
      </c>
      <c r="R636" s="191">
        <f>SUBTOTAL(9,R637:R638)</f>
        <v>0</v>
      </c>
      <c r="S636" s="191"/>
      <c r="T636" s="190" t="s">
        <v>2586</v>
      </c>
      <c r="U636" s="200">
        <f>SUBTOTAL(9,U637:U638)</f>
        <v>47.460000000000008</v>
      </c>
      <c r="V636" s="190" t="s">
        <v>2586</v>
      </c>
      <c r="W636" s="191">
        <f>SUBTOTAL(9,W637:W638)</f>
        <v>0</v>
      </c>
      <c r="X636" s="190" t="s">
        <v>2586</v>
      </c>
      <c r="Y636" s="191">
        <f>SUBTOTAL(9,Y637:Y638)</f>
        <v>0</v>
      </c>
      <c r="Z636" s="191"/>
      <c r="AA636" s="190" t="s">
        <v>2586</v>
      </c>
      <c r="AB636" s="200">
        <f>SUBTOTAL(9,AB637:AB638)</f>
        <v>0</v>
      </c>
      <c r="AC636" s="190" t="s">
        <v>2586</v>
      </c>
      <c r="AD636" s="191">
        <f>SUBTOTAL(9,AD637:AD638)</f>
        <v>0</v>
      </c>
      <c r="AE636" s="190" t="s">
        <v>2586</v>
      </c>
      <c r="AF636" s="191">
        <f>SUBTOTAL(9,AF637:AF638)</f>
        <v>0</v>
      </c>
      <c r="AG636" s="190" t="s">
        <v>2586</v>
      </c>
      <c r="AH636" s="191">
        <f>SUBTOTAL(9,AH637:AH638)</f>
        <v>0</v>
      </c>
    </row>
    <row r="637" spans="2:34" ht="16.5" outlineLevel="1" x14ac:dyDescent="0.25">
      <c r="B637" s="175" t="s">
        <v>2857</v>
      </c>
      <c r="C637" s="176" t="s">
        <v>0</v>
      </c>
      <c r="D637" s="176">
        <v>11.3</v>
      </c>
      <c r="E637" s="194">
        <v>4.2</v>
      </c>
      <c r="F637" s="194">
        <v>0</v>
      </c>
      <c r="G637" s="194">
        <f>E637-F637</f>
        <v>4.2</v>
      </c>
      <c r="H637" s="176"/>
      <c r="I637" s="178" t="str">
        <f>IF($E637&gt;0,"X"," ")</f>
        <v>X</v>
      </c>
      <c r="J637" s="176">
        <f>IF(I637="X",($D637-H637)*E637,0)</f>
        <v>47.460000000000008</v>
      </c>
      <c r="K637" s="178" t="str">
        <f>IF($F637&gt;0,"X"," ")</f>
        <v xml:space="preserve"> </v>
      </c>
      <c r="L637" s="176">
        <f>IF(K637="X",($D637-H637)*F637,0)</f>
        <v>0</v>
      </c>
      <c r="M637" s="178" t="str">
        <f>IF($E637&gt;0,"X"," ")</f>
        <v>X</v>
      </c>
      <c r="N637" s="177">
        <f>IF(M637="X",J637-L637,0)</f>
        <v>47.460000000000008</v>
      </c>
      <c r="O637" s="178" t="str">
        <f>IF($F637&gt;0,"X"," ")</f>
        <v xml:space="preserve"> </v>
      </c>
      <c r="P637" s="176">
        <f>IF(L637&gt;0,L637,0)</f>
        <v>0</v>
      </c>
      <c r="Q637" s="178" t="s">
        <v>0</v>
      </c>
      <c r="R637" s="176"/>
      <c r="S637" s="178" t="s">
        <v>2578</v>
      </c>
      <c r="T637" s="178" t="str">
        <f>IF($S637="ACRÍLICA","X"," ")</f>
        <v>X</v>
      </c>
      <c r="U637" s="176">
        <f>IF(T637="X",$N637,0)</f>
        <v>47.460000000000008</v>
      </c>
      <c r="V637" s="178" t="str">
        <f>IF($S637="EPÓXI","X"," ")</f>
        <v xml:space="preserve"> </v>
      </c>
      <c r="W637" s="176">
        <f>IF(V637="X",$N637,0)</f>
        <v>0</v>
      </c>
      <c r="X637" s="178" t="str">
        <f>IF($S637="TEXTURA","X"," ")</f>
        <v xml:space="preserve"> </v>
      </c>
      <c r="Y637" s="176">
        <f>IF(X637="X",$N637,0)</f>
        <v>0</v>
      </c>
      <c r="Z637" s="178" t="s">
        <v>2581</v>
      </c>
      <c r="AA637" s="178" t="str">
        <f>IF($Z637="ACARTONADO","X"," ")</f>
        <v>X</v>
      </c>
      <c r="AB637" s="193" t="str">
        <f>IF(AA637="X",$C637,0)</f>
        <v xml:space="preserve"> </v>
      </c>
      <c r="AC637" s="178" t="str">
        <f>IF($Z637="MINERAL","X"," ")</f>
        <v xml:space="preserve"> </v>
      </c>
      <c r="AD637" s="176">
        <f>IF(AC637="X",$C637,0)</f>
        <v>0</v>
      </c>
      <c r="AE637" s="178" t="str">
        <f>IF($Z637="LAJE","X"," ")</f>
        <v xml:space="preserve"> </v>
      </c>
      <c r="AF637" s="176">
        <f>IF(AE637="X",$C637,0)</f>
        <v>0</v>
      </c>
      <c r="AG637" s="178" t="str">
        <f>IF($Z637="LAJE","X"," ")</f>
        <v xml:space="preserve"> </v>
      </c>
      <c r="AH637" s="176">
        <f>IF(AG637="X",$D637-H637,0)</f>
        <v>0</v>
      </c>
    </row>
    <row r="638" spans="2:34" ht="16.5" outlineLevel="1" x14ac:dyDescent="0.25">
      <c r="B638" s="175"/>
      <c r="C638" s="176"/>
      <c r="D638" s="176"/>
      <c r="E638" s="194"/>
      <c r="F638" s="194"/>
      <c r="G638" s="194"/>
      <c r="H638" s="176"/>
      <c r="I638" s="178"/>
      <c r="J638" s="176"/>
      <c r="K638" s="178"/>
      <c r="L638" s="176"/>
      <c r="M638" s="178"/>
      <c r="N638" s="177"/>
      <c r="O638" s="178"/>
      <c r="P638" s="176"/>
      <c r="Q638" s="178"/>
      <c r="R638" s="176"/>
      <c r="S638" s="176"/>
      <c r="T638" s="178"/>
      <c r="U638" s="176"/>
      <c r="V638" s="178"/>
      <c r="W638" s="176"/>
      <c r="X638" s="178"/>
      <c r="Y638" s="176"/>
      <c r="Z638" s="176"/>
      <c r="AA638" s="178"/>
      <c r="AB638" s="176"/>
      <c r="AC638" s="178"/>
      <c r="AD638" s="176"/>
      <c r="AE638" s="178"/>
      <c r="AF638" s="176"/>
      <c r="AG638" s="178"/>
      <c r="AH638" s="176"/>
    </row>
    <row r="639" spans="2:34" ht="16.5" x14ac:dyDescent="0.25">
      <c r="B639" s="182"/>
      <c r="C639" s="185"/>
      <c r="D639" s="185"/>
      <c r="E639" s="185"/>
      <c r="F639" s="185"/>
      <c r="G639" s="185"/>
      <c r="H639" s="185"/>
      <c r="I639" s="184"/>
      <c r="J639" s="185"/>
      <c r="K639" s="184"/>
      <c r="L639" s="185"/>
      <c r="M639" s="184"/>
      <c r="N639" s="185"/>
      <c r="O639" s="201"/>
      <c r="P639" s="185"/>
      <c r="Q639" s="184"/>
      <c r="R639" s="189"/>
      <c r="S639" s="185"/>
      <c r="T639" s="184"/>
      <c r="U639" s="185"/>
      <c r="V639" s="184"/>
      <c r="W639" s="185"/>
      <c r="X639" s="184"/>
      <c r="Y639" s="189"/>
      <c r="Z639" s="185"/>
      <c r="AA639" s="184"/>
      <c r="AB639" s="185"/>
      <c r="AC639" s="184"/>
      <c r="AD639" s="185"/>
      <c r="AE639" s="184"/>
      <c r="AF639" s="189"/>
      <c r="AG639" s="184"/>
      <c r="AH639" s="189"/>
    </row>
    <row r="640" spans="2:34" ht="16.5" x14ac:dyDescent="0.25">
      <c r="B640" s="929" t="s">
        <v>2807</v>
      </c>
      <c r="C640" s="930"/>
      <c r="D640" s="930"/>
      <c r="E640" s="930"/>
      <c r="F640" s="930"/>
      <c r="G640" s="930"/>
      <c r="H640" s="931"/>
      <c r="I640" s="190" t="s">
        <v>2586</v>
      </c>
      <c r="J640" s="191">
        <f>SUBTOTAL(9,J641:J642)</f>
        <v>251.16</v>
      </c>
      <c r="K640" s="192" t="s">
        <v>2586</v>
      </c>
      <c r="L640" s="191">
        <f>SUBTOTAL(9,L641:L642)</f>
        <v>0</v>
      </c>
      <c r="M640" s="190" t="s">
        <v>2586</v>
      </c>
      <c r="N640" s="200">
        <f>SUBTOTAL(9,N641:N642)</f>
        <v>251.16</v>
      </c>
      <c r="O640" s="190" t="s">
        <v>2586</v>
      </c>
      <c r="P640" s="191">
        <f>SUBTOTAL(9,P641:P642)</f>
        <v>0</v>
      </c>
      <c r="Q640" s="190" t="s">
        <v>2586</v>
      </c>
      <c r="R640" s="191">
        <f>SUBTOTAL(9,R641:R642)</f>
        <v>0</v>
      </c>
      <c r="S640" s="191"/>
      <c r="T640" s="190" t="s">
        <v>2586</v>
      </c>
      <c r="U640" s="200">
        <f>SUBTOTAL(9,U641:U642)</f>
        <v>251.16</v>
      </c>
      <c r="V640" s="190" t="s">
        <v>2586</v>
      </c>
      <c r="W640" s="191">
        <f>SUBTOTAL(9,W641:W642)</f>
        <v>0</v>
      </c>
      <c r="X640" s="190" t="s">
        <v>2586</v>
      </c>
      <c r="Y640" s="191">
        <f>SUBTOTAL(9,Y641:Y642)</f>
        <v>0</v>
      </c>
      <c r="Z640" s="191"/>
      <c r="AA640" s="190" t="s">
        <v>2586</v>
      </c>
      <c r="AB640" s="200">
        <f>SUBTOTAL(9,AB641:AB642)</f>
        <v>0</v>
      </c>
      <c r="AC640" s="190" t="s">
        <v>2586</v>
      </c>
      <c r="AD640" s="191">
        <f>SUBTOTAL(9,AD641:AD642)</f>
        <v>0</v>
      </c>
      <c r="AE640" s="190" t="s">
        <v>2586</v>
      </c>
      <c r="AF640" s="191">
        <f>SUBTOTAL(9,AF641:AF642)</f>
        <v>0</v>
      </c>
      <c r="AG640" s="190" t="s">
        <v>2586</v>
      </c>
      <c r="AH640" s="191">
        <f>SUBTOTAL(9,AH641:AH642)</f>
        <v>0</v>
      </c>
    </row>
    <row r="641" spans="2:34" ht="16.5" outlineLevel="1" x14ac:dyDescent="0.25">
      <c r="B641" s="175" t="s">
        <v>2857</v>
      </c>
      <c r="C641" s="176" t="s">
        <v>0</v>
      </c>
      <c r="D641" s="176">
        <v>59.8</v>
      </c>
      <c r="E641" s="194">
        <v>4.2</v>
      </c>
      <c r="F641" s="194">
        <v>0</v>
      </c>
      <c r="G641" s="194">
        <f>E641-F641</f>
        <v>4.2</v>
      </c>
      <c r="H641" s="176"/>
      <c r="I641" s="178" t="str">
        <f>IF($E641&gt;0,"X"," ")</f>
        <v>X</v>
      </c>
      <c r="J641" s="176">
        <f>IF(I641="X",($D641-H641)*E641,0)</f>
        <v>251.16</v>
      </c>
      <c r="K641" s="178" t="str">
        <f>IF($F641&gt;0,"X"," ")</f>
        <v xml:space="preserve"> </v>
      </c>
      <c r="L641" s="176">
        <f>IF(K641="X",($D641-H641)*F641,0)</f>
        <v>0</v>
      </c>
      <c r="M641" s="178" t="str">
        <f>IF($E641&gt;0,"X"," ")</f>
        <v>X</v>
      </c>
      <c r="N641" s="177">
        <f>IF(M641="X",J641-L641,0)</f>
        <v>251.16</v>
      </c>
      <c r="O641" s="178" t="str">
        <f>IF($F641&gt;0,"X"," ")</f>
        <v xml:space="preserve"> </v>
      </c>
      <c r="P641" s="176">
        <f>IF(L641&gt;0,L641,0)</f>
        <v>0</v>
      </c>
      <c r="Q641" s="178" t="s">
        <v>0</v>
      </c>
      <c r="R641" s="176"/>
      <c r="S641" s="178" t="s">
        <v>2578</v>
      </c>
      <c r="T641" s="178" t="str">
        <f>IF($S641="ACRÍLICA","X"," ")</f>
        <v>X</v>
      </c>
      <c r="U641" s="176">
        <f>IF(T641="X",$N641,0)</f>
        <v>251.16</v>
      </c>
      <c r="V641" s="178" t="str">
        <f>IF($S641="EPÓXI","X"," ")</f>
        <v xml:space="preserve"> </v>
      </c>
      <c r="W641" s="176">
        <f>IF(V641="X",$N641,0)</f>
        <v>0</v>
      </c>
      <c r="X641" s="178" t="str">
        <f>IF($S641="TEXTURA","X"," ")</f>
        <v xml:space="preserve"> </v>
      </c>
      <c r="Y641" s="176">
        <f>IF(X641="X",$N641,0)</f>
        <v>0</v>
      </c>
      <c r="Z641" s="178" t="s">
        <v>2581</v>
      </c>
      <c r="AA641" s="178" t="str">
        <f>IF($Z641="ACARTONADO","X"," ")</f>
        <v>X</v>
      </c>
      <c r="AB641" s="193" t="str">
        <f>IF(AA641="X",$C641,0)</f>
        <v xml:space="preserve"> </v>
      </c>
      <c r="AC641" s="178" t="str">
        <f>IF($Z641="MINERAL","X"," ")</f>
        <v xml:space="preserve"> </v>
      </c>
      <c r="AD641" s="176">
        <f>IF(AC641="X",$C641,0)</f>
        <v>0</v>
      </c>
      <c r="AE641" s="178" t="str">
        <f>IF($Z641="LAJE","X"," ")</f>
        <v xml:space="preserve"> </v>
      </c>
      <c r="AF641" s="176">
        <f>IF(AE641="X",$C641,0)</f>
        <v>0</v>
      </c>
      <c r="AG641" s="178" t="str">
        <f>IF($Z641="LAJE","X"," ")</f>
        <v xml:space="preserve"> </v>
      </c>
      <c r="AH641" s="176">
        <f>IF(AG641="X",$D641-H641,0)</f>
        <v>0</v>
      </c>
    </row>
    <row r="642" spans="2:34" ht="16.5" outlineLevel="1" x14ac:dyDescent="0.25">
      <c r="B642" s="175"/>
      <c r="C642" s="176"/>
      <c r="D642" s="176"/>
      <c r="E642" s="194"/>
      <c r="F642" s="194"/>
      <c r="G642" s="194"/>
      <c r="H642" s="176"/>
      <c r="I642" s="178"/>
      <c r="J642" s="176"/>
      <c r="K642" s="178"/>
      <c r="L642" s="176"/>
      <c r="M642" s="178"/>
      <c r="N642" s="177"/>
      <c r="O642" s="178"/>
      <c r="P642" s="176"/>
      <c r="Q642" s="178"/>
      <c r="R642" s="176"/>
      <c r="S642" s="176"/>
      <c r="T642" s="178"/>
      <c r="U642" s="176"/>
      <c r="V642" s="178"/>
      <c r="W642" s="176"/>
      <c r="X642" s="178"/>
      <c r="Y642" s="176"/>
      <c r="Z642" s="176"/>
      <c r="AA642" s="178"/>
      <c r="AB642" s="176"/>
      <c r="AC642" s="178"/>
      <c r="AD642" s="176"/>
      <c r="AE642" s="178"/>
      <c r="AF642" s="176"/>
      <c r="AG642" s="178"/>
      <c r="AH642" s="176"/>
    </row>
    <row r="643" spans="2:34" ht="16.5" x14ac:dyDescent="0.25">
      <c r="B643" s="182"/>
      <c r="C643" s="185"/>
      <c r="D643" s="185"/>
      <c r="E643" s="185"/>
      <c r="F643" s="185"/>
      <c r="G643" s="185"/>
      <c r="H643" s="185"/>
      <c r="I643" s="184"/>
      <c r="J643" s="185"/>
      <c r="K643" s="184"/>
      <c r="L643" s="185"/>
      <c r="M643" s="184"/>
      <c r="N643" s="185"/>
      <c r="O643" s="201"/>
      <c r="P643" s="185"/>
      <c r="Q643" s="184"/>
      <c r="R643" s="189"/>
      <c r="S643" s="185"/>
      <c r="T643" s="184"/>
      <c r="U643" s="185"/>
      <c r="V643" s="184"/>
      <c r="W643" s="185"/>
      <c r="X643" s="184"/>
      <c r="Y643" s="189"/>
      <c r="Z643" s="185"/>
      <c r="AA643" s="184"/>
      <c r="AB643" s="185"/>
      <c r="AC643" s="184"/>
      <c r="AD643" s="185"/>
      <c r="AE643" s="184"/>
      <c r="AF643" s="189"/>
      <c r="AG643" s="184"/>
      <c r="AH643" s="189"/>
    </row>
    <row r="644" spans="2:34" ht="16.5" x14ac:dyDescent="0.25">
      <c r="B644" s="929" t="s">
        <v>2858</v>
      </c>
      <c r="C644" s="930"/>
      <c r="D644" s="930"/>
      <c r="E644" s="930"/>
      <c r="F644" s="930"/>
      <c r="G644" s="930"/>
      <c r="H644" s="931"/>
      <c r="I644" s="190" t="s">
        <v>2586</v>
      </c>
      <c r="J644" s="191">
        <f>SUBTOTAL(9,J645:J649)</f>
        <v>11839.419999999998</v>
      </c>
      <c r="K644" s="192" t="s">
        <v>2586</v>
      </c>
      <c r="L644" s="191">
        <f>SUBTOTAL(9,L645:L649)</f>
        <v>6952.7149999999992</v>
      </c>
      <c r="M644" s="190" t="s">
        <v>2586</v>
      </c>
      <c r="N644" s="200">
        <f>SUBTOTAL(9,N645:N649)</f>
        <v>4886.7049999999999</v>
      </c>
      <c r="O644" s="190" t="s">
        <v>2586</v>
      </c>
      <c r="P644" s="191">
        <f>SUBTOTAL(9,P645:P649)</f>
        <v>6952.7149999999992</v>
      </c>
      <c r="Q644" s="190" t="s">
        <v>2586</v>
      </c>
      <c r="R644" s="191">
        <f>SUBTOTAL(9,R645:R649)</f>
        <v>0</v>
      </c>
      <c r="S644" s="191"/>
      <c r="T644" s="190" t="s">
        <v>2586</v>
      </c>
      <c r="U644" s="200">
        <f>SUBTOTAL(9,U645:U649)</f>
        <v>4886.7049999999999</v>
      </c>
      <c r="V644" s="190" t="s">
        <v>2586</v>
      </c>
      <c r="W644" s="191">
        <f>SUBTOTAL(9,W645:W649)</f>
        <v>0</v>
      </c>
      <c r="X644" s="190" t="s">
        <v>2586</v>
      </c>
      <c r="Y644" s="191">
        <f>SUBTOTAL(9,Y645:Y649)</f>
        <v>0</v>
      </c>
      <c r="Z644" s="191"/>
      <c r="AA644" s="190" t="s">
        <v>2586</v>
      </c>
      <c r="AB644" s="200">
        <f>SUBTOTAL(9,AB645:AB649)</f>
        <v>0</v>
      </c>
      <c r="AC644" s="190" t="s">
        <v>2586</v>
      </c>
      <c r="AD644" s="191">
        <f>SUBTOTAL(9,AD645:AD649)</f>
        <v>0</v>
      </c>
      <c r="AE644" s="190" t="s">
        <v>2586</v>
      </c>
      <c r="AF644" s="191">
        <f>SUBTOTAL(9,AF645:AF649)</f>
        <v>0</v>
      </c>
      <c r="AG644" s="190" t="s">
        <v>2586</v>
      </c>
      <c r="AH644" s="191">
        <f>SUBTOTAL(9,AH645:AH649)</f>
        <v>0</v>
      </c>
    </row>
    <row r="645" spans="2:34" ht="16.5" outlineLevel="1" x14ac:dyDescent="0.25">
      <c r="B645" s="175" t="s">
        <v>2857</v>
      </c>
      <c r="C645" s="176" t="s">
        <v>0</v>
      </c>
      <c r="D645" s="176">
        <v>356.7</v>
      </c>
      <c r="E645" s="194">
        <v>16.45</v>
      </c>
      <c r="F645" s="194">
        <v>16.45</v>
      </c>
      <c r="G645" s="194">
        <f>E645-F645</f>
        <v>0</v>
      </c>
      <c r="H645" s="176"/>
      <c r="I645" s="178" t="str">
        <f>IF($E645&gt;0,"X"," ")</f>
        <v>X</v>
      </c>
      <c r="J645" s="176">
        <f>IF(I645="X",($D645-H645)*E645,0)</f>
        <v>5867.7149999999992</v>
      </c>
      <c r="K645" s="178" t="str">
        <f>IF($F645&gt;0,"X"," ")</f>
        <v>X</v>
      </c>
      <c r="L645" s="176">
        <f>IF(K645="X",($D645-H645)*F645,0)</f>
        <v>5867.7149999999992</v>
      </c>
      <c r="M645" s="178" t="str">
        <f>IF($E645&gt;0,"X"," ")</f>
        <v>X</v>
      </c>
      <c r="N645" s="177">
        <f>IF(M645="X",J645-L645,0)</f>
        <v>0</v>
      </c>
      <c r="O645" s="178" t="str">
        <f>IF($F645&gt;0,"X"," ")</f>
        <v>X</v>
      </c>
      <c r="P645" s="176">
        <f>IF(L645&gt;0,L645,0)</f>
        <v>5867.7149999999992</v>
      </c>
      <c r="Q645" s="178" t="s">
        <v>0</v>
      </c>
      <c r="R645" s="176"/>
      <c r="S645" s="178" t="s">
        <v>2623</v>
      </c>
      <c r="T645" s="178" t="str">
        <f>IF($S645="ACRÍLICA","X"," ")</f>
        <v xml:space="preserve"> </v>
      </c>
      <c r="U645" s="176">
        <f>IF(T645="X",$N645,0)</f>
        <v>0</v>
      </c>
      <c r="V645" s="178" t="str">
        <f>IF($S645="EPÓXI","X"," ")</f>
        <v xml:space="preserve"> </v>
      </c>
      <c r="W645" s="176">
        <f>IF(V645="X",$N645,0)</f>
        <v>0</v>
      </c>
      <c r="X645" s="178" t="str">
        <f>IF($S645="TEXTURA","X"," ")</f>
        <v xml:space="preserve"> </v>
      </c>
      <c r="Y645" s="176">
        <f>IF(X645="X",$N645,0)</f>
        <v>0</v>
      </c>
      <c r="Z645" s="178" t="s">
        <v>2581</v>
      </c>
      <c r="AA645" s="178" t="str">
        <f>IF($Z645="ACARTONADO","X"," ")</f>
        <v>X</v>
      </c>
      <c r="AB645" s="193" t="str">
        <f>IF(AA645="X",$C645,0)</f>
        <v xml:space="preserve"> </v>
      </c>
      <c r="AC645" s="178" t="str">
        <f>IF($Z645="MINERAL","X"," ")</f>
        <v xml:space="preserve"> </v>
      </c>
      <c r="AD645" s="176">
        <f>IF(AC645="X",$C645,0)</f>
        <v>0</v>
      </c>
      <c r="AE645" s="178" t="str">
        <f t="shared" ref="AE645:AG648" si="531">IF($Z645="LAJE","X"," ")</f>
        <v xml:space="preserve"> </v>
      </c>
      <c r="AF645" s="176">
        <f>IF(AE645="X",$C645,0)</f>
        <v>0</v>
      </c>
      <c r="AG645" s="178" t="str">
        <f t="shared" si="531"/>
        <v xml:space="preserve"> </v>
      </c>
      <c r="AH645" s="176">
        <f>IF(AG645="X",$D645-H645,0)</f>
        <v>0</v>
      </c>
    </row>
    <row r="646" spans="2:34" ht="16.5" outlineLevel="1" x14ac:dyDescent="0.25">
      <c r="B646" s="175" t="s">
        <v>2857</v>
      </c>
      <c r="C646" s="176"/>
      <c r="D646" s="176">
        <v>184.3</v>
      </c>
      <c r="E646" s="194">
        <v>14.45</v>
      </c>
      <c r="F646" s="194">
        <v>0</v>
      </c>
      <c r="G646" s="194">
        <f>E646-F646</f>
        <v>14.45</v>
      </c>
      <c r="H646" s="176"/>
      <c r="I646" s="178" t="str">
        <f>IF($E646&gt;0,"X"," ")</f>
        <v>X</v>
      </c>
      <c r="J646" s="176">
        <f>IF(I646="X",($D646-H646)*E646,0)</f>
        <v>2663.1350000000002</v>
      </c>
      <c r="K646" s="178" t="str">
        <f>IF($F646&gt;0,"X"," ")</f>
        <v xml:space="preserve"> </v>
      </c>
      <c r="L646" s="176">
        <f>IF(K646="X",($D646-H646)*F646,0)</f>
        <v>0</v>
      </c>
      <c r="M646" s="178" t="str">
        <f>IF($E646&gt;0,"X"," ")</f>
        <v>X</v>
      </c>
      <c r="N646" s="177">
        <f>IF(M646="X",J646-L646,0)</f>
        <v>2663.1350000000002</v>
      </c>
      <c r="O646" s="178" t="str">
        <f>IF($F646&gt;0,"X"," ")</f>
        <v xml:space="preserve"> </v>
      </c>
      <c r="P646" s="176">
        <f>IF(L646&gt;0,L646,0)</f>
        <v>0</v>
      </c>
      <c r="Q646" s="178" t="s">
        <v>0</v>
      </c>
      <c r="R646" s="176"/>
      <c r="S646" s="178" t="s">
        <v>2578</v>
      </c>
      <c r="T646" s="178" t="str">
        <f>IF($S646="ACRÍLICA","X"," ")</f>
        <v>X</v>
      </c>
      <c r="U646" s="176">
        <f>IF(T646="X",$N646,0)</f>
        <v>2663.1350000000002</v>
      </c>
      <c r="V646" s="178" t="str">
        <f>IF($S646="EPÓXI","X"," ")</f>
        <v xml:space="preserve"> </v>
      </c>
      <c r="W646" s="176">
        <f>IF(V646="X",$N646,0)</f>
        <v>0</v>
      </c>
      <c r="X646" s="178" t="str">
        <f>IF($S646="TEXTURA","X"," ")</f>
        <v xml:space="preserve"> </v>
      </c>
      <c r="Y646" s="176">
        <f>IF(X646="X",$N646,0)</f>
        <v>0</v>
      </c>
      <c r="Z646" s="178" t="s">
        <v>2581</v>
      </c>
      <c r="AA646" s="178" t="str">
        <f>IF($Z646="ACARTONADO","X"," ")</f>
        <v>X</v>
      </c>
      <c r="AB646" s="193">
        <f>IF(AA646="X",$C646,0)</f>
        <v>0</v>
      </c>
      <c r="AC646" s="178" t="str">
        <f>IF($Z646="MINERAL","X"," ")</f>
        <v xml:space="preserve"> </v>
      </c>
      <c r="AD646" s="176">
        <f>IF(AC646="X",$C646,0)</f>
        <v>0</v>
      </c>
      <c r="AE646" s="178" t="str">
        <f t="shared" si="531"/>
        <v xml:space="preserve"> </v>
      </c>
      <c r="AF646" s="176">
        <f>IF(AE646="X",$C646,0)</f>
        <v>0</v>
      </c>
      <c r="AG646" s="178" t="str">
        <f t="shared" si="531"/>
        <v xml:space="preserve"> </v>
      </c>
      <c r="AH646" s="176">
        <f>IF(AG646="X",$D646-H646,0)</f>
        <v>0</v>
      </c>
    </row>
    <row r="647" spans="2:34" ht="16.5" outlineLevel="1" x14ac:dyDescent="0.25">
      <c r="B647" s="175" t="s">
        <v>2857</v>
      </c>
      <c r="C647" s="176"/>
      <c r="D647" s="176">
        <v>108.5</v>
      </c>
      <c r="E647" s="194">
        <v>10</v>
      </c>
      <c r="F647" s="194">
        <v>10</v>
      </c>
      <c r="G647" s="194">
        <f>E647-F647</f>
        <v>0</v>
      </c>
      <c r="H647" s="176"/>
      <c r="I647" s="178" t="str">
        <f>IF($E647&gt;0,"X"," ")</f>
        <v>X</v>
      </c>
      <c r="J647" s="176">
        <f>IF(I647="X",($D647-H647)*E647,0)</f>
        <v>1085</v>
      </c>
      <c r="K647" s="178" t="str">
        <f>IF($F647&gt;0,"X"," ")</f>
        <v>X</v>
      </c>
      <c r="L647" s="176">
        <f>IF(K647="X",($D647-H647)*F647,0)</f>
        <v>1085</v>
      </c>
      <c r="M647" s="178" t="str">
        <f>IF($E647&gt;0,"X"," ")</f>
        <v>X</v>
      </c>
      <c r="N647" s="177">
        <f>IF(M647="X",J647-L647,0)</f>
        <v>0</v>
      </c>
      <c r="O647" s="178" t="str">
        <f>IF($F647&gt;0,"X"," ")</f>
        <v>X</v>
      </c>
      <c r="P647" s="176">
        <f>IF(L647&gt;0,L647,0)</f>
        <v>1085</v>
      </c>
      <c r="Q647" s="178" t="s">
        <v>0</v>
      </c>
      <c r="R647" s="176"/>
      <c r="S647" s="178" t="s">
        <v>2623</v>
      </c>
      <c r="T647" s="178" t="str">
        <f>IF($S647="ACRÍLICA","X"," ")</f>
        <v xml:space="preserve"> </v>
      </c>
      <c r="U647" s="176">
        <f>IF(T647="X",$N647,0)</f>
        <v>0</v>
      </c>
      <c r="V647" s="178" t="str">
        <f>IF($S647="EPÓXI","X"," ")</f>
        <v xml:space="preserve"> </v>
      </c>
      <c r="W647" s="176">
        <f>IF(V647="X",$N647,0)</f>
        <v>0</v>
      </c>
      <c r="X647" s="178" t="str">
        <f>IF($S647="TEXTURA","X"," ")</f>
        <v xml:space="preserve"> </v>
      </c>
      <c r="Y647" s="176">
        <f>IF(X647="X",$N647,0)</f>
        <v>0</v>
      </c>
      <c r="Z647" s="178" t="s">
        <v>2581</v>
      </c>
      <c r="AA647" s="178" t="str">
        <f>IF($Z647="ACARTONADO","X"," ")</f>
        <v>X</v>
      </c>
      <c r="AB647" s="193">
        <f>IF(AA647="X",$C647,0)</f>
        <v>0</v>
      </c>
      <c r="AC647" s="178" t="str">
        <f>IF($Z647="MINERAL","X"," ")</f>
        <v xml:space="preserve"> </v>
      </c>
      <c r="AD647" s="176">
        <f>IF(AC647="X",$C647,0)</f>
        <v>0</v>
      </c>
      <c r="AE647" s="178" t="str">
        <f t="shared" si="531"/>
        <v xml:space="preserve"> </v>
      </c>
      <c r="AF647" s="176">
        <f>IF(AE647="X",$C647,0)</f>
        <v>0</v>
      </c>
      <c r="AG647" s="178" t="str">
        <f t="shared" si="531"/>
        <v xml:space="preserve"> </v>
      </c>
      <c r="AH647" s="176">
        <f>IF(AG647="X",$D647-H647,0)</f>
        <v>0</v>
      </c>
    </row>
    <row r="648" spans="2:34" ht="16.5" outlineLevel="1" x14ac:dyDescent="0.25">
      <c r="B648" s="175" t="s">
        <v>2857</v>
      </c>
      <c r="C648" s="176"/>
      <c r="D648" s="176">
        <f>54.5+8.7+9.2+82.9+15.9+7.6+89.1</f>
        <v>267.89999999999998</v>
      </c>
      <c r="E648" s="194">
        <v>8.3000000000000007</v>
      </c>
      <c r="F648" s="194">
        <v>0</v>
      </c>
      <c r="G648" s="194">
        <f>E648-F648</f>
        <v>8.3000000000000007</v>
      </c>
      <c r="H648" s="176"/>
      <c r="I648" s="178" t="str">
        <f>IF($E648&gt;0,"X"," ")</f>
        <v>X</v>
      </c>
      <c r="J648" s="176">
        <f>IF(I648="X",($D648-H648)*E648,0)</f>
        <v>2223.5700000000002</v>
      </c>
      <c r="K648" s="178" t="str">
        <f>IF($F648&gt;0,"X"," ")</f>
        <v xml:space="preserve"> </v>
      </c>
      <c r="L648" s="176">
        <f>IF(K648="X",($D648-H648)*F648,0)</f>
        <v>0</v>
      </c>
      <c r="M648" s="178" t="str">
        <f>IF($E648&gt;0,"X"," ")</f>
        <v>X</v>
      </c>
      <c r="N648" s="177">
        <f>IF(M648="X",J648-L648,0)</f>
        <v>2223.5700000000002</v>
      </c>
      <c r="O648" s="178" t="str">
        <f>IF($F648&gt;0,"X"," ")</f>
        <v xml:space="preserve"> </v>
      </c>
      <c r="P648" s="176">
        <f>IF(L648&gt;0,L648,0)</f>
        <v>0</v>
      </c>
      <c r="Q648" s="178" t="s">
        <v>0</v>
      </c>
      <c r="R648" s="176"/>
      <c r="S648" s="178" t="s">
        <v>2578</v>
      </c>
      <c r="T648" s="178" t="str">
        <f>IF($S648="ACRÍLICA","X"," ")</f>
        <v>X</v>
      </c>
      <c r="U648" s="176">
        <f>IF(T648="X",$N648,0)</f>
        <v>2223.5700000000002</v>
      </c>
      <c r="V648" s="178" t="str">
        <f>IF($S648="EPÓXI","X"," ")</f>
        <v xml:space="preserve"> </v>
      </c>
      <c r="W648" s="176">
        <f>IF(V648="X",$N648,0)</f>
        <v>0</v>
      </c>
      <c r="X648" s="178" t="str">
        <f>IF($S648="TEXTURA","X"," ")</f>
        <v xml:space="preserve"> </v>
      </c>
      <c r="Y648" s="176">
        <f>IF(X648="X",$N648,0)</f>
        <v>0</v>
      </c>
      <c r="Z648" s="178" t="s">
        <v>2581</v>
      </c>
      <c r="AA648" s="178" t="str">
        <f>IF($Z648="ACARTONADO","X"," ")</f>
        <v>X</v>
      </c>
      <c r="AB648" s="193">
        <f>IF(AA648="X",$C648,0)</f>
        <v>0</v>
      </c>
      <c r="AC648" s="178" t="str">
        <f>IF($Z648="MINERAL","X"," ")</f>
        <v xml:space="preserve"> </v>
      </c>
      <c r="AD648" s="176">
        <f>IF(AC648="X",$C648,0)</f>
        <v>0</v>
      </c>
      <c r="AE648" s="178" t="str">
        <f t="shared" si="531"/>
        <v xml:space="preserve"> </v>
      </c>
      <c r="AF648" s="176">
        <f>IF(AE648="X",$C648,0)</f>
        <v>0</v>
      </c>
      <c r="AG648" s="178" t="str">
        <f t="shared" si="531"/>
        <v xml:space="preserve"> </v>
      </c>
      <c r="AH648" s="176">
        <f>IF(AG648="X",$D648-H648,0)</f>
        <v>0</v>
      </c>
    </row>
    <row r="649" spans="2:34" ht="16.5" outlineLevel="1" x14ac:dyDescent="0.25">
      <c r="B649" s="175"/>
      <c r="C649" s="176"/>
      <c r="D649" s="176"/>
      <c r="E649" s="194"/>
      <c r="F649" s="194"/>
      <c r="G649" s="194"/>
      <c r="H649" s="176"/>
      <c r="I649" s="178"/>
      <c r="J649" s="176"/>
      <c r="K649" s="178"/>
      <c r="L649" s="176"/>
      <c r="M649" s="178"/>
      <c r="N649" s="177"/>
      <c r="O649" s="178"/>
      <c r="P649" s="176"/>
      <c r="Q649" s="178"/>
      <c r="R649" s="176"/>
      <c r="S649" s="176"/>
      <c r="T649" s="178"/>
      <c r="U649" s="176"/>
      <c r="V649" s="178"/>
      <c r="W649" s="176"/>
      <c r="X649" s="178"/>
      <c r="Y649" s="176"/>
      <c r="Z649" s="176"/>
      <c r="AA649" s="178"/>
      <c r="AB649" s="176"/>
      <c r="AC649" s="178"/>
      <c r="AD649" s="176"/>
      <c r="AE649" s="178"/>
      <c r="AF649" s="176"/>
      <c r="AG649" s="178"/>
      <c r="AH649" s="176"/>
    </row>
    <row r="650" spans="2:34" ht="16.5" x14ac:dyDescent="0.25">
      <c r="B650" s="182"/>
      <c r="C650" s="185"/>
      <c r="D650" s="185"/>
      <c r="E650" s="185"/>
      <c r="F650" s="185"/>
      <c r="G650" s="185"/>
      <c r="H650" s="185"/>
      <c r="I650" s="184"/>
      <c r="J650" s="185"/>
      <c r="K650" s="184"/>
      <c r="L650" s="185"/>
      <c r="M650" s="184"/>
      <c r="N650" s="185"/>
      <c r="O650" s="201"/>
      <c r="P650" s="185"/>
      <c r="Q650" s="184"/>
      <c r="R650" s="189"/>
      <c r="S650" s="185"/>
      <c r="T650" s="184"/>
      <c r="U650" s="185"/>
      <c r="V650" s="184"/>
      <c r="W650" s="185"/>
      <c r="X650" s="184"/>
      <c r="Y650" s="189"/>
      <c r="Z650" s="185"/>
      <c r="AA650" s="184"/>
      <c r="AB650" s="185"/>
      <c r="AC650" s="184"/>
      <c r="AD650" s="185"/>
      <c r="AE650" s="184"/>
      <c r="AF650" s="189"/>
      <c r="AG650" s="174"/>
    </row>
    <row r="651" spans="2:34" ht="16.5" x14ac:dyDescent="0.25">
      <c r="B651" s="181"/>
      <c r="C651" s="172"/>
      <c r="D651" s="172"/>
      <c r="E651" s="172"/>
      <c r="F651" s="172"/>
      <c r="G651" s="172"/>
      <c r="H651" s="172"/>
      <c r="I651" s="173"/>
      <c r="J651" s="172"/>
      <c r="K651" s="172"/>
      <c r="L651" s="172"/>
      <c r="M651" s="172"/>
      <c r="N651" s="172"/>
      <c r="O651" s="172"/>
      <c r="P651" s="172"/>
      <c r="Q651" s="172"/>
      <c r="R651" s="172"/>
      <c r="S651" s="172"/>
      <c r="T651" s="172"/>
      <c r="U651" s="172"/>
      <c r="V651" s="172"/>
      <c r="W651" s="172"/>
      <c r="X651" s="172"/>
      <c r="Y651" s="172"/>
      <c r="Z651" s="172"/>
      <c r="AA651" s="172"/>
      <c r="AB651" s="172"/>
      <c r="AC651" s="172"/>
      <c r="AD651" s="172"/>
      <c r="AE651" s="172"/>
      <c r="AF651" s="172"/>
    </row>
  </sheetData>
  <mergeCells count="102">
    <mergeCell ref="K3:L3"/>
    <mergeCell ref="O3:P3"/>
    <mergeCell ref="Q3:R3"/>
    <mergeCell ref="AA4:AB4"/>
    <mergeCell ref="M3:N3"/>
    <mergeCell ref="Z2:Z4"/>
    <mergeCell ref="AA2:AF2"/>
    <mergeCell ref="T2:Y2"/>
    <mergeCell ref="AE4:AF4"/>
    <mergeCell ref="AA3:AB3"/>
    <mergeCell ref="AC3:AD3"/>
    <mergeCell ref="T3:U3"/>
    <mergeCell ref="V3:W3"/>
    <mergeCell ref="X3:Y3"/>
    <mergeCell ref="T4:U4"/>
    <mergeCell ref="B644:H644"/>
    <mergeCell ref="B526:H526"/>
    <mergeCell ref="B554:H554"/>
    <mergeCell ref="B583:H583"/>
    <mergeCell ref="B607:H607"/>
    <mergeCell ref="B640:H640"/>
    <mergeCell ref="B636:H636"/>
    <mergeCell ref="I4:J4"/>
    <mergeCell ref="K4:L4"/>
    <mergeCell ref="I5:J5"/>
    <mergeCell ref="K5:L5"/>
    <mergeCell ref="B632:H632"/>
    <mergeCell ref="B360:H360"/>
    <mergeCell ref="B376:H376"/>
    <mergeCell ref="B503:H503"/>
    <mergeCell ref="B380:H380"/>
    <mergeCell ref="B398:H398"/>
    <mergeCell ref="B426:H426"/>
    <mergeCell ref="B455:H455"/>
    <mergeCell ref="B479:H479"/>
    <mergeCell ref="AG3:AH3"/>
    <mergeCell ref="AG4:AH4"/>
    <mergeCell ref="AG5:AH5"/>
    <mergeCell ref="AG8:AH9"/>
    <mergeCell ref="Q4:R4"/>
    <mergeCell ref="AC4:AD4"/>
    <mergeCell ref="B353:H353"/>
    <mergeCell ref="B52:H52"/>
    <mergeCell ref="B80:H80"/>
    <mergeCell ref="B126:H126"/>
    <mergeCell ref="B12:H12"/>
    <mergeCell ref="B39:H39"/>
    <mergeCell ref="B322:H322"/>
    <mergeCell ref="B343:H343"/>
    <mergeCell ref="D8:D9"/>
    <mergeCell ref="B8:B9"/>
    <mergeCell ref="E8:G8"/>
    <mergeCell ref="H8:H9"/>
    <mergeCell ref="B129:H129"/>
    <mergeCell ref="B188:H188"/>
    <mergeCell ref="B224:H224"/>
    <mergeCell ref="B256:H256"/>
    <mergeCell ref="B285:H285"/>
    <mergeCell ref="M4:N4"/>
    <mergeCell ref="AG6:AH6"/>
    <mergeCell ref="T9:U9"/>
    <mergeCell ref="AE9:AF9"/>
    <mergeCell ref="V4:W4"/>
    <mergeCell ref="T5:U5"/>
    <mergeCell ref="V5:W5"/>
    <mergeCell ref="X5:Y5"/>
    <mergeCell ref="X4:Y4"/>
    <mergeCell ref="X9:Y9"/>
    <mergeCell ref="V9:W9"/>
    <mergeCell ref="AE3:AF3"/>
    <mergeCell ref="B2:H4"/>
    <mergeCell ref="C8:C9"/>
    <mergeCell ref="I6:J6"/>
    <mergeCell ref="I2:N2"/>
    <mergeCell ref="O2:R2"/>
    <mergeCell ref="I8:AF8"/>
    <mergeCell ref="AA5:AB5"/>
    <mergeCell ref="AC5:AD5"/>
    <mergeCell ref="AE5:AF5"/>
    <mergeCell ref="Q5:R5"/>
    <mergeCell ref="M9:N9"/>
    <mergeCell ref="O9:P9"/>
    <mergeCell ref="I9:J9"/>
    <mergeCell ref="K9:L9"/>
    <mergeCell ref="Q9:R9"/>
    <mergeCell ref="S2:S4"/>
    <mergeCell ref="AA9:AB9"/>
    <mergeCell ref="AC9:AD9"/>
    <mergeCell ref="O4:P4"/>
    <mergeCell ref="M5:N5"/>
    <mergeCell ref="O5:P5"/>
    <mergeCell ref="I3:J3"/>
    <mergeCell ref="V6:W6"/>
    <mergeCell ref="X6:Y6"/>
    <mergeCell ref="AA6:AB6"/>
    <mergeCell ref="AC6:AD6"/>
    <mergeCell ref="AE6:AF6"/>
    <mergeCell ref="K6:L6"/>
    <mergeCell ref="M6:N6"/>
    <mergeCell ref="O6:P6"/>
    <mergeCell ref="Q6:R6"/>
    <mergeCell ref="T6:U6"/>
  </mergeCells>
  <conditionalFormatting sqref="I13:I38 O641:O642 I641:I642 K641:K642 M641:M642 Q641:Q642 O637:O638 I637:I638 K637:K638 M637:M638 Q637:Q638 O633:O634 I633:I634 K633:K634 M633:M634 Q633:Q634">
    <cfRule type="containsText" dxfId="887" priority="1264" operator="containsText" text="X">
      <formula>NOT(ISERROR(SEARCH("X",I13)))</formula>
    </cfRule>
  </conditionalFormatting>
  <conditionalFormatting sqref="K13:K38">
    <cfRule type="containsText" dxfId="886" priority="1263" operator="containsText" text="X">
      <formula>NOT(ISERROR(SEARCH("X",K13)))</formula>
    </cfRule>
  </conditionalFormatting>
  <conditionalFormatting sqref="M13:M38">
    <cfRule type="containsText" dxfId="885" priority="1262" operator="containsText" text="X">
      <formula>NOT(ISERROR(SEARCH("X",M13)))</formula>
    </cfRule>
  </conditionalFormatting>
  <conditionalFormatting sqref="O13:O38">
    <cfRule type="containsText" dxfId="884" priority="1261" operator="containsText" text="X">
      <formula>NOT(ISERROR(SEARCH("X",O13)))</formula>
    </cfRule>
  </conditionalFormatting>
  <conditionalFormatting sqref="Q13:Q38">
    <cfRule type="containsText" dxfId="883" priority="1260" operator="containsText" text="X">
      <formula>NOT(ISERROR(SEARCH("X",Q13)))</formula>
    </cfRule>
  </conditionalFormatting>
  <conditionalFormatting sqref="O64:O78">
    <cfRule type="containsText" dxfId="882" priority="1250" operator="containsText" text="X">
      <formula>NOT(ISERROR(SEARCH("X",O64)))</formula>
    </cfRule>
  </conditionalFormatting>
  <conditionalFormatting sqref="I40:I50">
    <cfRule type="containsText" dxfId="881" priority="1258" operator="containsText" text="X">
      <formula>NOT(ISERROR(SEARCH("X",I40)))</formula>
    </cfRule>
  </conditionalFormatting>
  <conditionalFormatting sqref="K40:K50">
    <cfRule type="containsText" dxfId="880" priority="1257" operator="containsText" text="X">
      <formula>NOT(ISERROR(SEARCH("X",K40)))</formula>
    </cfRule>
  </conditionalFormatting>
  <conditionalFormatting sqref="M40:M50">
    <cfRule type="containsText" dxfId="879" priority="1256" operator="containsText" text="X">
      <formula>NOT(ISERROR(SEARCH("X",M40)))</formula>
    </cfRule>
  </conditionalFormatting>
  <conditionalFormatting sqref="O40:O50">
    <cfRule type="containsText" dxfId="878" priority="1255" operator="containsText" text="X">
      <formula>NOT(ISERROR(SEARCH("X",O40)))</formula>
    </cfRule>
  </conditionalFormatting>
  <conditionalFormatting sqref="Q40:Q50">
    <cfRule type="containsText" dxfId="877" priority="1254" operator="containsText" text="X">
      <formula>NOT(ISERROR(SEARCH("X",Q40)))</formula>
    </cfRule>
  </conditionalFormatting>
  <conditionalFormatting sqref="I64:I78">
    <cfRule type="containsText" dxfId="876" priority="1253" operator="containsText" text="X">
      <formula>NOT(ISERROR(SEARCH("X",I64)))</formula>
    </cfRule>
  </conditionalFormatting>
  <conditionalFormatting sqref="K64:K78">
    <cfRule type="containsText" dxfId="875" priority="1252" operator="containsText" text="X">
      <formula>NOT(ISERROR(SEARCH("X",K64)))</formula>
    </cfRule>
  </conditionalFormatting>
  <conditionalFormatting sqref="M64:M78">
    <cfRule type="containsText" dxfId="874" priority="1251" operator="containsText" text="X">
      <formula>NOT(ISERROR(SEARCH("X",M64)))</formula>
    </cfRule>
  </conditionalFormatting>
  <conditionalFormatting sqref="O51">
    <cfRule type="containsText" dxfId="873" priority="1245" operator="containsText" text="X">
      <formula>NOT(ISERROR(SEARCH("X",O51)))</formula>
    </cfRule>
  </conditionalFormatting>
  <conditionalFormatting sqref="Q64:Q78">
    <cfRule type="containsText" dxfId="872" priority="1249" operator="containsText" text="X">
      <formula>NOT(ISERROR(SEARCH("X",Q64)))</formula>
    </cfRule>
  </conditionalFormatting>
  <conditionalFormatting sqref="I51">
    <cfRule type="containsText" dxfId="871" priority="1248" operator="containsText" text="X">
      <formula>NOT(ISERROR(SEARCH("X",I51)))</formula>
    </cfRule>
  </conditionalFormatting>
  <conditionalFormatting sqref="K51">
    <cfRule type="containsText" dxfId="870" priority="1247" operator="containsText" text="X">
      <formula>NOT(ISERROR(SEARCH("X",K51)))</formula>
    </cfRule>
  </conditionalFormatting>
  <conditionalFormatting sqref="M51">
    <cfRule type="containsText" dxfId="869" priority="1246" operator="containsText" text="X">
      <formula>NOT(ISERROR(SEARCH("X",M51)))</formula>
    </cfRule>
  </conditionalFormatting>
  <conditionalFormatting sqref="O53:O63">
    <cfRule type="containsText" dxfId="868" priority="1235" operator="containsText" text="X">
      <formula>NOT(ISERROR(SEARCH("X",O53)))</formula>
    </cfRule>
  </conditionalFormatting>
  <conditionalFormatting sqref="Q51">
    <cfRule type="containsText" dxfId="867" priority="1244" operator="containsText" text="X">
      <formula>NOT(ISERROR(SEARCH("X",Q51)))</formula>
    </cfRule>
  </conditionalFormatting>
  <conditionalFormatting sqref="O79">
    <cfRule type="containsText" dxfId="866" priority="1240" operator="containsText" text="X">
      <formula>NOT(ISERROR(SEARCH("X",O79)))</formula>
    </cfRule>
  </conditionalFormatting>
  <conditionalFormatting sqref="I79">
    <cfRule type="containsText" dxfId="865" priority="1243" operator="containsText" text="X">
      <formula>NOT(ISERROR(SEARCH("X",I79)))</formula>
    </cfRule>
  </conditionalFormatting>
  <conditionalFormatting sqref="K79">
    <cfRule type="containsText" dxfId="864" priority="1242" operator="containsText" text="X">
      <formula>NOT(ISERROR(SEARCH("X",K79)))</formula>
    </cfRule>
  </conditionalFormatting>
  <conditionalFormatting sqref="M79">
    <cfRule type="containsText" dxfId="863" priority="1241" operator="containsText" text="X">
      <formula>NOT(ISERROR(SEARCH("X",M79)))</formula>
    </cfRule>
  </conditionalFormatting>
  <conditionalFormatting sqref="Q79">
    <cfRule type="containsText" dxfId="862" priority="1239" operator="containsText" text="X">
      <formula>NOT(ISERROR(SEARCH("X",Q79)))</formula>
    </cfRule>
  </conditionalFormatting>
  <conditionalFormatting sqref="I53:I63">
    <cfRule type="containsText" dxfId="861" priority="1238" operator="containsText" text="X">
      <formula>NOT(ISERROR(SEARCH("X",I53)))</formula>
    </cfRule>
  </conditionalFormatting>
  <conditionalFormatting sqref="K53:K63">
    <cfRule type="containsText" dxfId="860" priority="1237" operator="containsText" text="X">
      <formula>NOT(ISERROR(SEARCH("X",K53)))</formula>
    </cfRule>
  </conditionalFormatting>
  <conditionalFormatting sqref="M53:M63">
    <cfRule type="containsText" dxfId="859" priority="1236" operator="containsText" text="X">
      <formula>NOT(ISERROR(SEARCH("X",M53)))</formula>
    </cfRule>
  </conditionalFormatting>
  <conditionalFormatting sqref="O81:O91">
    <cfRule type="containsText" dxfId="858" priority="1225" operator="containsText" text="X">
      <formula>NOT(ISERROR(SEARCH("X",O81)))</formula>
    </cfRule>
  </conditionalFormatting>
  <conditionalFormatting sqref="Q53:Q63">
    <cfRule type="containsText" dxfId="857" priority="1234" operator="containsText" text="X">
      <formula>NOT(ISERROR(SEARCH("X",Q53)))</formula>
    </cfRule>
  </conditionalFormatting>
  <conditionalFormatting sqref="O92:O124">
    <cfRule type="containsText" dxfId="856" priority="1230" operator="containsText" text="X">
      <formula>NOT(ISERROR(SEARCH("X",O92)))</formula>
    </cfRule>
  </conditionalFormatting>
  <conditionalFormatting sqref="I92:I124">
    <cfRule type="containsText" dxfId="855" priority="1233" operator="containsText" text="X">
      <formula>NOT(ISERROR(SEARCH("X",I92)))</formula>
    </cfRule>
  </conditionalFormatting>
  <conditionalFormatting sqref="K92:K124">
    <cfRule type="containsText" dxfId="854" priority="1232" operator="containsText" text="X">
      <formula>NOT(ISERROR(SEARCH("X",K92)))</formula>
    </cfRule>
  </conditionalFormatting>
  <conditionalFormatting sqref="M92:M124">
    <cfRule type="containsText" dxfId="853" priority="1231" operator="containsText" text="X">
      <formula>NOT(ISERROR(SEARCH("X",M92)))</formula>
    </cfRule>
  </conditionalFormatting>
  <conditionalFormatting sqref="Q92:Q124">
    <cfRule type="containsText" dxfId="852" priority="1229" operator="containsText" text="X">
      <formula>NOT(ISERROR(SEARCH("X",Q92)))</formula>
    </cfRule>
  </conditionalFormatting>
  <conditionalFormatting sqref="I81:I91">
    <cfRule type="containsText" dxfId="851" priority="1228" operator="containsText" text="X">
      <formula>NOT(ISERROR(SEARCH("X",I81)))</formula>
    </cfRule>
  </conditionalFormatting>
  <conditionalFormatting sqref="K81:K91">
    <cfRule type="containsText" dxfId="850" priority="1227" operator="containsText" text="X">
      <formula>NOT(ISERROR(SEARCH("X",K81)))</formula>
    </cfRule>
  </conditionalFormatting>
  <conditionalFormatting sqref="M81:M91">
    <cfRule type="containsText" dxfId="849" priority="1226" operator="containsText" text="X">
      <formula>NOT(ISERROR(SEARCH("X",M81)))</formula>
    </cfRule>
  </conditionalFormatting>
  <conditionalFormatting sqref="Q81:Q91">
    <cfRule type="containsText" dxfId="848" priority="1224" operator="containsText" text="X">
      <formula>NOT(ISERROR(SEARCH("X",Q81)))</formula>
    </cfRule>
  </conditionalFormatting>
  <conditionalFormatting sqref="O125">
    <cfRule type="containsText" dxfId="847" priority="1220" operator="containsText" text="X">
      <formula>NOT(ISERROR(SEARCH("X",O125)))</formula>
    </cfRule>
  </conditionalFormatting>
  <conditionalFormatting sqref="I125">
    <cfRule type="containsText" dxfId="846" priority="1223" operator="containsText" text="X">
      <formula>NOT(ISERROR(SEARCH("X",I125)))</formula>
    </cfRule>
  </conditionalFormatting>
  <conditionalFormatting sqref="K125">
    <cfRule type="containsText" dxfId="845" priority="1222" operator="containsText" text="X">
      <formula>NOT(ISERROR(SEARCH("X",K125)))</formula>
    </cfRule>
  </conditionalFormatting>
  <conditionalFormatting sqref="M125">
    <cfRule type="containsText" dxfId="844" priority="1221" operator="containsText" text="X">
      <formula>NOT(ISERROR(SEARCH("X",M125)))</formula>
    </cfRule>
  </conditionalFormatting>
  <conditionalFormatting sqref="Q125">
    <cfRule type="containsText" dxfId="843" priority="1219" operator="containsText" text="X">
      <formula>NOT(ISERROR(SEARCH("X",Q125)))</formula>
    </cfRule>
  </conditionalFormatting>
  <conditionalFormatting sqref="O128">
    <cfRule type="containsText" dxfId="842" priority="1215" operator="containsText" text="X">
      <formula>NOT(ISERROR(SEARCH("X",O128)))</formula>
    </cfRule>
  </conditionalFormatting>
  <conditionalFormatting sqref="I128">
    <cfRule type="containsText" dxfId="841" priority="1218" operator="containsText" text="X">
      <formula>NOT(ISERROR(SEARCH("X",I128)))</formula>
    </cfRule>
  </conditionalFormatting>
  <conditionalFormatting sqref="K128">
    <cfRule type="containsText" dxfId="840" priority="1217" operator="containsText" text="X">
      <formula>NOT(ISERROR(SEARCH("X",K128)))</formula>
    </cfRule>
  </conditionalFormatting>
  <conditionalFormatting sqref="M128">
    <cfRule type="containsText" dxfId="839" priority="1216" operator="containsText" text="X">
      <formula>NOT(ISERROR(SEARCH("X",M128)))</formula>
    </cfRule>
  </conditionalFormatting>
  <conditionalFormatting sqref="Q128">
    <cfRule type="containsText" dxfId="838" priority="1214" operator="containsText" text="X">
      <formula>NOT(ISERROR(SEARCH("X",Q128)))</formula>
    </cfRule>
  </conditionalFormatting>
  <conditionalFormatting sqref="O187">
    <cfRule type="containsText" dxfId="837" priority="1210" operator="containsText" text="X">
      <formula>NOT(ISERROR(SEARCH("X",O187)))</formula>
    </cfRule>
  </conditionalFormatting>
  <conditionalFormatting sqref="I187">
    <cfRule type="containsText" dxfId="836" priority="1213" operator="containsText" text="X">
      <formula>NOT(ISERROR(SEARCH("X",I187)))</formula>
    </cfRule>
  </conditionalFormatting>
  <conditionalFormatting sqref="K187">
    <cfRule type="containsText" dxfId="835" priority="1212" operator="containsText" text="X">
      <formula>NOT(ISERROR(SEARCH("X",K187)))</formula>
    </cfRule>
  </conditionalFormatting>
  <conditionalFormatting sqref="M187">
    <cfRule type="containsText" dxfId="834" priority="1211" operator="containsText" text="X">
      <formula>NOT(ISERROR(SEARCH("X",M187)))</formula>
    </cfRule>
  </conditionalFormatting>
  <conditionalFormatting sqref="Q187">
    <cfRule type="containsText" dxfId="833" priority="1209" operator="containsText" text="X">
      <formula>NOT(ISERROR(SEARCH("X",Q187)))</formula>
    </cfRule>
  </conditionalFormatting>
  <conditionalFormatting sqref="O223">
    <cfRule type="containsText" dxfId="832" priority="1205" operator="containsText" text="X">
      <formula>NOT(ISERROR(SEARCH("X",O223)))</formula>
    </cfRule>
  </conditionalFormatting>
  <conditionalFormatting sqref="I223">
    <cfRule type="containsText" dxfId="831" priority="1208" operator="containsText" text="X">
      <formula>NOT(ISERROR(SEARCH("X",I223)))</formula>
    </cfRule>
  </conditionalFormatting>
  <conditionalFormatting sqref="K223">
    <cfRule type="containsText" dxfId="830" priority="1207" operator="containsText" text="X">
      <formula>NOT(ISERROR(SEARCH("X",K223)))</formula>
    </cfRule>
  </conditionalFormatting>
  <conditionalFormatting sqref="M223">
    <cfRule type="containsText" dxfId="829" priority="1206" operator="containsText" text="X">
      <formula>NOT(ISERROR(SEARCH("X",M223)))</formula>
    </cfRule>
  </conditionalFormatting>
  <conditionalFormatting sqref="Q223">
    <cfRule type="containsText" dxfId="828" priority="1204" operator="containsText" text="X">
      <formula>NOT(ISERROR(SEARCH("X",Q223)))</formula>
    </cfRule>
  </conditionalFormatting>
  <conditionalFormatting sqref="O255">
    <cfRule type="containsText" dxfId="827" priority="1200" operator="containsText" text="X">
      <formula>NOT(ISERROR(SEARCH("X",O255)))</formula>
    </cfRule>
  </conditionalFormatting>
  <conditionalFormatting sqref="I255">
    <cfRule type="containsText" dxfId="826" priority="1203" operator="containsText" text="X">
      <formula>NOT(ISERROR(SEARCH("X",I255)))</formula>
    </cfRule>
  </conditionalFormatting>
  <conditionalFormatting sqref="K255">
    <cfRule type="containsText" dxfId="825" priority="1202" operator="containsText" text="X">
      <formula>NOT(ISERROR(SEARCH("X",K255)))</formula>
    </cfRule>
  </conditionalFormatting>
  <conditionalFormatting sqref="M255">
    <cfRule type="containsText" dxfId="824" priority="1201" operator="containsText" text="X">
      <formula>NOT(ISERROR(SEARCH("X",M255)))</formula>
    </cfRule>
  </conditionalFormatting>
  <conditionalFormatting sqref="Q255">
    <cfRule type="containsText" dxfId="823" priority="1199" operator="containsText" text="X">
      <formula>NOT(ISERROR(SEARCH("X",Q255)))</formula>
    </cfRule>
  </conditionalFormatting>
  <conditionalFormatting sqref="O284">
    <cfRule type="containsText" dxfId="822" priority="1195" operator="containsText" text="X">
      <formula>NOT(ISERROR(SEARCH("X",O284)))</formula>
    </cfRule>
  </conditionalFormatting>
  <conditionalFormatting sqref="I284">
    <cfRule type="containsText" dxfId="821" priority="1198" operator="containsText" text="X">
      <formula>NOT(ISERROR(SEARCH("X",I284)))</formula>
    </cfRule>
  </conditionalFormatting>
  <conditionalFormatting sqref="K284">
    <cfRule type="containsText" dxfId="820" priority="1197" operator="containsText" text="X">
      <formula>NOT(ISERROR(SEARCH("X",K284)))</formula>
    </cfRule>
  </conditionalFormatting>
  <conditionalFormatting sqref="M284">
    <cfRule type="containsText" dxfId="819" priority="1196" operator="containsText" text="X">
      <formula>NOT(ISERROR(SEARCH("X",M284)))</formula>
    </cfRule>
  </conditionalFormatting>
  <conditionalFormatting sqref="Q284">
    <cfRule type="containsText" dxfId="818" priority="1194" operator="containsText" text="X">
      <formula>NOT(ISERROR(SEARCH("X",Q284)))</formula>
    </cfRule>
  </conditionalFormatting>
  <conditionalFormatting sqref="O321">
    <cfRule type="containsText" dxfId="817" priority="1190" operator="containsText" text="X">
      <formula>NOT(ISERROR(SEARCH("X",O321)))</formula>
    </cfRule>
  </conditionalFormatting>
  <conditionalFormatting sqref="I321">
    <cfRule type="containsText" dxfId="816" priority="1193" operator="containsText" text="X">
      <formula>NOT(ISERROR(SEARCH("X",I321)))</formula>
    </cfRule>
  </conditionalFormatting>
  <conditionalFormatting sqref="K321">
    <cfRule type="containsText" dxfId="815" priority="1192" operator="containsText" text="X">
      <formula>NOT(ISERROR(SEARCH("X",K321)))</formula>
    </cfRule>
  </conditionalFormatting>
  <conditionalFormatting sqref="M321">
    <cfRule type="containsText" dxfId="814" priority="1191" operator="containsText" text="X">
      <formula>NOT(ISERROR(SEARCH("X",M321)))</formula>
    </cfRule>
  </conditionalFormatting>
  <conditionalFormatting sqref="Q321">
    <cfRule type="containsText" dxfId="813" priority="1189" operator="containsText" text="X">
      <formula>NOT(ISERROR(SEARCH("X",Q321)))</formula>
    </cfRule>
  </conditionalFormatting>
  <conditionalFormatting sqref="O342">
    <cfRule type="containsText" dxfId="812" priority="1185" operator="containsText" text="X">
      <formula>NOT(ISERROR(SEARCH("X",O342)))</formula>
    </cfRule>
  </conditionalFormatting>
  <conditionalFormatting sqref="I342">
    <cfRule type="containsText" dxfId="811" priority="1188" operator="containsText" text="X">
      <formula>NOT(ISERROR(SEARCH("X",I342)))</formula>
    </cfRule>
  </conditionalFormatting>
  <conditionalFormatting sqref="K342">
    <cfRule type="containsText" dxfId="810" priority="1187" operator="containsText" text="X">
      <formula>NOT(ISERROR(SEARCH("X",K342)))</formula>
    </cfRule>
  </conditionalFormatting>
  <conditionalFormatting sqref="M342">
    <cfRule type="containsText" dxfId="809" priority="1186" operator="containsText" text="X">
      <formula>NOT(ISERROR(SEARCH("X",M342)))</formula>
    </cfRule>
  </conditionalFormatting>
  <conditionalFormatting sqref="Q342">
    <cfRule type="containsText" dxfId="808" priority="1184" operator="containsText" text="X">
      <formula>NOT(ISERROR(SEARCH("X",Q342)))</formula>
    </cfRule>
  </conditionalFormatting>
  <conditionalFormatting sqref="O352">
    <cfRule type="containsText" dxfId="807" priority="1180" operator="containsText" text="X">
      <formula>NOT(ISERROR(SEARCH("X",O352)))</formula>
    </cfRule>
  </conditionalFormatting>
  <conditionalFormatting sqref="I352">
    <cfRule type="containsText" dxfId="806" priority="1183" operator="containsText" text="X">
      <formula>NOT(ISERROR(SEARCH("X",I352)))</formula>
    </cfRule>
  </conditionalFormatting>
  <conditionalFormatting sqref="K352">
    <cfRule type="containsText" dxfId="805" priority="1182" operator="containsText" text="X">
      <formula>NOT(ISERROR(SEARCH("X",K352)))</formula>
    </cfRule>
  </conditionalFormatting>
  <conditionalFormatting sqref="M352">
    <cfRule type="containsText" dxfId="804" priority="1181" operator="containsText" text="X">
      <formula>NOT(ISERROR(SEARCH("X",M352)))</formula>
    </cfRule>
  </conditionalFormatting>
  <conditionalFormatting sqref="Q352">
    <cfRule type="containsText" dxfId="803" priority="1179" operator="containsText" text="X">
      <formula>NOT(ISERROR(SEARCH("X",Q352)))</formula>
    </cfRule>
  </conditionalFormatting>
  <conditionalFormatting sqref="O358">
    <cfRule type="containsText" dxfId="802" priority="1175" operator="containsText" text="X">
      <formula>NOT(ISERROR(SEARCH("X",O358)))</formula>
    </cfRule>
  </conditionalFormatting>
  <conditionalFormatting sqref="I358">
    <cfRule type="containsText" dxfId="801" priority="1178" operator="containsText" text="X">
      <formula>NOT(ISERROR(SEARCH("X",I358)))</formula>
    </cfRule>
  </conditionalFormatting>
  <conditionalFormatting sqref="K358">
    <cfRule type="containsText" dxfId="800" priority="1177" operator="containsText" text="X">
      <formula>NOT(ISERROR(SEARCH("X",K358)))</formula>
    </cfRule>
  </conditionalFormatting>
  <conditionalFormatting sqref="M358">
    <cfRule type="containsText" dxfId="799" priority="1176" operator="containsText" text="X">
      <formula>NOT(ISERROR(SEARCH("X",M358)))</formula>
    </cfRule>
  </conditionalFormatting>
  <conditionalFormatting sqref="Q358">
    <cfRule type="containsText" dxfId="798" priority="1174" operator="containsText" text="X">
      <formula>NOT(ISERROR(SEARCH("X",Q358)))</formula>
    </cfRule>
  </conditionalFormatting>
  <conditionalFormatting sqref="O375">
    <cfRule type="containsText" dxfId="797" priority="1170" operator="containsText" text="X">
      <formula>NOT(ISERROR(SEARCH("X",O375)))</formula>
    </cfRule>
  </conditionalFormatting>
  <conditionalFormatting sqref="I375">
    <cfRule type="containsText" dxfId="796" priority="1173" operator="containsText" text="X">
      <formula>NOT(ISERROR(SEARCH("X",I375)))</formula>
    </cfRule>
  </conditionalFormatting>
  <conditionalFormatting sqref="K375">
    <cfRule type="containsText" dxfId="795" priority="1172" operator="containsText" text="X">
      <formula>NOT(ISERROR(SEARCH("X",K375)))</formula>
    </cfRule>
  </conditionalFormatting>
  <conditionalFormatting sqref="M375">
    <cfRule type="containsText" dxfId="794" priority="1171" operator="containsText" text="X">
      <formula>NOT(ISERROR(SEARCH("X",M375)))</formula>
    </cfRule>
  </conditionalFormatting>
  <conditionalFormatting sqref="Q375">
    <cfRule type="containsText" dxfId="793" priority="1169" operator="containsText" text="X">
      <formula>NOT(ISERROR(SEARCH("X",Q375)))</formula>
    </cfRule>
  </conditionalFormatting>
  <conditionalFormatting sqref="O379">
    <cfRule type="containsText" dxfId="792" priority="1165" operator="containsText" text="X">
      <formula>NOT(ISERROR(SEARCH("X",O379)))</formula>
    </cfRule>
  </conditionalFormatting>
  <conditionalFormatting sqref="I379">
    <cfRule type="containsText" dxfId="791" priority="1168" operator="containsText" text="X">
      <formula>NOT(ISERROR(SEARCH("X",I379)))</formula>
    </cfRule>
  </conditionalFormatting>
  <conditionalFormatting sqref="K379">
    <cfRule type="containsText" dxfId="790" priority="1167" operator="containsText" text="X">
      <formula>NOT(ISERROR(SEARCH("X",K379)))</formula>
    </cfRule>
  </conditionalFormatting>
  <conditionalFormatting sqref="M379">
    <cfRule type="containsText" dxfId="789" priority="1166" operator="containsText" text="X">
      <formula>NOT(ISERROR(SEARCH("X",M379)))</formula>
    </cfRule>
  </conditionalFormatting>
  <conditionalFormatting sqref="Q379">
    <cfRule type="containsText" dxfId="788" priority="1164" operator="containsText" text="X">
      <formula>NOT(ISERROR(SEARCH("X",Q379)))</formula>
    </cfRule>
  </conditionalFormatting>
  <conditionalFormatting sqref="O396">
    <cfRule type="containsText" dxfId="787" priority="1160" operator="containsText" text="X">
      <formula>NOT(ISERROR(SEARCH("X",O396)))</formula>
    </cfRule>
  </conditionalFormatting>
  <conditionalFormatting sqref="I396">
    <cfRule type="containsText" dxfId="786" priority="1163" operator="containsText" text="X">
      <formula>NOT(ISERROR(SEARCH("X",I396)))</formula>
    </cfRule>
  </conditionalFormatting>
  <conditionalFormatting sqref="K396">
    <cfRule type="containsText" dxfId="785" priority="1162" operator="containsText" text="X">
      <formula>NOT(ISERROR(SEARCH("X",K396)))</formula>
    </cfRule>
  </conditionalFormatting>
  <conditionalFormatting sqref="M396">
    <cfRule type="containsText" dxfId="784" priority="1161" operator="containsText" text="X">
      <formula>NOT(ISERROR(SEARCH("X",M396)))</formula>
    </cfRule>
  </conditionalFormatting>
  <conditionalFormatting sqref="Q396">
    <cfRule type="containsText" dxfId="783" priority="1159" operator="containsText" text="X">
      <formula>NOT(ISERROR(SEARCH("X",Q396)))</formula>
    </cfRule>
  </conditionalFormatting>
  <conditionalFormatting sqref="O425">
    <cfRule type="containsText" dxfId="782" priority="1155" operator="containsText" text="X">
      <formula>NOT(ISERROR(SEARCH("X",O425)))</formula>
    </cfRule>
  </conditionalFormatting>
  <conditionalFormatting sqref="I425">
    <cfRule type="containsText" dxfId="781" priority="1158" operator="containsText" text="X">
      <formula>NOT(ISERROR(SEARCH("X",I425)))</formula>
    </cfRule>
  </conditionalFormatting>
  <conditionalFormatting sqref="K425">
    <cfRule type="containsText" dxfId="780" priority="1157" operator="containsText" text="X">
      <formula>NOT(ISERROR(SEARCH("X",K425)))</formula>
    </cfRule>
  </conditionalFormatting>
  <conditionalFormatting sqref="M425">
    <cfRule type="containsText" dxfId="779" priority="1156" operator="containsText" text="X">
      <formula>NOT(ISERROR(SEARCH("X",M425)))</formula>
    </cfRule>
  </conditionalFormatting>
  <conditionalFormatting sqref="Q425">
    <cfRule type="containsText" dxfId="778" priority="1154" operator="containsText" text="X">
      <formula>NOT(ISERROR(SEARCH("X",Q425)))</formula>
    </cfRule>
  </conditionalFormatting>
  <conditionalFormatting sqref="O454">
    <cfRule type="containsText" dxfId="777" priority="1150" operator="containsText" text="X">
      <formula>NOT(ISERROR(SEARCH("X",O454)))</formula>
    </cfRule>
  </conditionalFormatting>
  <conditionalFormatting sqref="I454">
    <cfRule type="containsText" dxfId="776" priority="1153" operator="containsText" text="X">
      <formula>NOT(ISERROR(SEARCH("X",I454)))</formula>
    </cfRule>
  </conditionalFormatting>
  <conditionalFormatting sqref="K454">
    <cfRule type="containsText" dxfId="775" priority="1152" operator="containsText" text="X">
      <formula>NOT(ISERROR(SEARCH("X",K454)))</formula>
    </cfRule>
  </conditionalFormatting>
  <conditionalFormatting sqref="M454">
    <cfRule type="containsText" dxfId="774" priority="1151" operator="containsText" text="X">
      <formula>NOT(ISERROR(SEARCH("X",M454)))</formula>
    </cfRule>
  </conditionalFormatting>
  <conditionalFormatting sqref="Q454">
    <cfRule type="containsText" dxfId="773" priority="1149" operator="containsText" text="X">
      <formula>NOT(ISERROR(SEARCH("X",Q454)))</formula>
    </cfRule>
  </conditionalFormatting>
  <conditionalFormatting sqref="O478">
    <cfRule type="containsText" dxfId="772" priority="1145" operator="containsText" text="X">
      <formula>NOT(ISERROR(SEARCH("X",O478)))</formula>
    </cfRule>
  </conditionalFormatting>
  <conditionalFormatting sqref="I478">
    <cfRule type="containsText" dxfId="771" priority="1148" operator="containsText" text="X">
      <formula>NOT(ISERROR(SEARCH("X",I478)))</formula>
    </cfRule>
  </conditionalFormatting>
  <conditionalFormatting sqref="K478">
    <cfRule type="containsText" dxfId="770" priority="1147" operator="containsText" text="X">
      <formula>NOT(ISERROR(SEARCH("X",K478)))</formula>
    </cfRule>
  </conditionalFormatting>
  <conditionalFormatting sqref="M478">
    <cfRule type="containsText" dxfId="769" priority="1146" operator="containsText" text="X">
      <formula>NOT(ISERROR(SEARCH("X",M478)))</formula>
    </cfRule>
  </conditionalFormatting>
  <conditionalFormatting sqref="Q478">
    <cfRule type="containsText" dxfId="768" priority="1144" operator="containsText" text="X">
      <formula>NOT(ISERROR(SEARCH("X",Q478)))</formula>
    </cfRule>
  </conditionalFormatting>
  <conditionalFormatting sqref="O502">
    <cfRule type="containsText" dxfId="767" priority="1140" operator="containsText" text="X">
      <formula>NOT(ISERROR(SEARCH("X",O502)))</formula>
    </cfRule>
  </conditionalFormatting>
  <conditionalFormatting sqref="I502">
    <cfRule type="containsText" dxfId="766" priority="1143" operator="containsText" text="X">
      <formula>NOT(ISERROR(SEARCH("X",I502)))</formula>
    </cfRule>
  </conditionalFormatting>
  <conditionalFormatting sqref="K502">
    <cfRule type="containsText" dxfId="765" priority="1142" operator="containsText" text="X">
      <formula>NOT(ISERROR(SEARCH("X",K502)))</formula>
    </cfRule>
  </conditionalFormatting>
  <conditionalFormatting sqref="M502">
    <cfRule type="containsText" dxfId="764" priority="1141" operator="containsText" text="X">
      <formula>NOT(ISERROR(SEARCH("X",M502)))</formula>
    </cfRule>
  </conditionalFormatting>
  <conditionalFormatting sqref="Q502">
    <cfRule type="containsText" dxfId="763" priority="1139" operator="containsText" text="X">
      <formula>NOT(ISERROR(SEARCH("X",Q502)))</formula>
    </cfRule>
  </conditionalFormatting>
  <conditionalFormatting sqref="O524">
    <cfRule type="containsText" dxfId="762" priority="1135" operator="containsText" text="X">
      <formula>NOT(ISERROR(SEARCH("X",O524)))</formula>
    </cfRule>
  </conditionalFormatting>
  <conditionalFormatting sqref="I524">
    <cfRule type="containsText" dxfId="761" priority="1138" operator="containsText" text="X">
      <formula>NOT(ISERROR(SEARCH("X",I524)))</formula>
    </cfRule>
  </conditionalFormatting>
  <conditionalFormatting sqref="K524">
    <cfRule type="containsText" dxfId="760" priority="1137" operator="containsText" text="X">
      <formula>NOT(ISERROR(SEARCH("X",K524)))</formula>
    </cfRule>
  </conditionalFormatting>
  <conditionalFormatting sqref="M524">
    <cfRule type="containsText" dxfId="759" priority="1136" operator="containsText" text="X">
      <formula>NOT(ISERROR(SEARCH("X",M524)))</formula>
    </cfRule>
  </conditionalFormatting>
  <conditionalFormatting sqref="Q524">
    <cfRule type="containsText" dxfId="758" priority="1134" operator="containsText" text="X">
      <formula>NOT(ISERROR(SEARCH("X",Q524)))</formula>
    </cfRule>
  </conditionalFormatting>
  <conditionalFormatting sqref="O635">
    <cfRule type="containsText" dxfId="757" priority="1130" operator="containsText" text="X">
      <formula>NOT(ISERROR(SEARCH("X",O635)))</formula>
    </cfRule>
  </conditionalFormatting>
  <conditionalFormatting sqref="I635">
    <cfRule type="containsText" dxfId="756" priority="1133" operator="containsText" text="X">
      <formula>NOT(ISERROR(SEARCH("X",I635)))</formula>
    </cfRule>
  </conditionalFormatting>
  <conditionalFormatting sqref="K635">
    <cfRule type="containsText" dxfId="755" priority="1132" operator="containsText" text="X">
      <formula>NOT(ISERROR(SEARCH("X",K635)))</formula>
    </cfRule>
  </conditionalFormatting>
  <conditionalFormatting sqref="M635">
    <cfRule type="containsText" dxfId="754" priority="1131" operator="containsText" text="X">
      <formula>NOT(ISERROR(SEARCH("X",M635)))</formula>
    </cfRule>
  </conditionalFormatting>
  <conditionalFormatting sqref="Q635">
    <cfRule type="containsText" dxfId="753" priority="1129" operator="containsText" text="X">
      <formula>NOT(ISERROR(SEARCH("X",Q635)))</formula>
    </cfRule>
  </conditionalFormatting>
  <conditionalFormatting sqref="O639">
    <cfRule type="containsText" dxfId="752" priority="1125" operator="containsText" text="X">
      <formula>NOT(ISERROR(SEARCH("X",O639)))</formula>
    </cfRule>
  </conditionalFormatting>
  <conditionalFormatting sqref="I639">
    <cfRule type="containsText" dxfId="751" priority="1128" operator="containsText" text="X">
      <formula>NOT(ISERROR(SEARCH("X",I639)))</formula>
    </cfRule>
  </conditionalFormatting>
  <conditionalFormatting sqref="K639">
    <cfRule type="containsText" dxfId="750" priority="1127" operator="containsText" text="X">
      <formula>NOT(ISERROR(SEARCH("X",K639)))</formula>
    </cfRule>
  </conditionalFormatting>
  <conditionalFormatting sqref="M639">
    <cfRule type="containsText" dxfId="749" priority="1126" operator="containsText" text="X">
      <formula>NOT(ISERROR(SEARCH("X",M639)))</formula>
    </cfRule>
  </conditionalFormatting>
  <conditionalFormatting sqref="Q639">
    <cfRule type="containsText" dxfId="748" priority="1124" operator="containsText" text="X">
      <formula>NOT(ISERROR(SEARCH("X",Q639)))</formula>
    </cfRule>
  </conditionalFormatting>
  <conditionalFormatting sqref="O650">
    <cfRule type="containsText" dxfId="747" priority="1120" operator="containsText" text="X">
      <formula>NOT(ISERROR(SEARCH("X",O650)))</formula>
    </cfRule>
  </conditionalFormatting>
  <conditionalFormatting sqref="I650">
    <cfRule type="containsText" dxfId="746" priority="1123" operator="containsText" text="X">
      <formula>NOT(ISERROR(SEARCH("X",I650)))</formula>
    </cfRule>
  </conditionalFormatting>
  <conditionalFormatting sqref="K650">
    <cfRule type="containsText" dxfId="745" priority="1122" operator="containsText" text="X">
      <formula>NOT(ISERROR(SEARCH("X",K650)))</formula>
    </cfRule>
  </conditionalFormatting>
  <conditionalFormatting sqref="M650">
    <cfRule type="containsText" dxfId="744" priority="1121" operator="containsText" text="X">
      <formula>NOT(ISERROR(SEARCH("X",M650)))</formula>
    </cfRule>
  </conditionalFormatting>
  <conditionalFormatting sqref="Q650">
    <cfRule type="containsText" dxfId="743" priority="1119" operator="containsText" text="X">
      <formula>NOT(ISERROR(SEARCH("X",Q650)))</formula>
    </cfRule>
  </conditionalFormatting>
  <conditionalFormatting sqref="O127">
    <cfRule type="containsText" dxfId="742" priority="1115" operator="containsText" text="X">
      <formula>NOT(ISERROR(SEARCH("X",O127)))</formula>
    </cfRule>
  </conditionalFormatting>
  <conditionalFormatting sqref="I127">
    <cfRule type="containsText" dxfId="741" priority="1118" operator="containsText" text="X">
      <formula>NOT(ISERROR(SEARCH("X",I127)))</formula>
    </cfRule>
  </conditionalFormatting>
  <conditionalFormatting sqref="K127">
    <cfRule type="containsText" dxfId="740" priority="1117" operator="containsText" text="X">
      <formula>NOT(ISERROR(SEARCH("X",K127)))</formula>
    </cfRule>
  </conditionalFormatting>
  <conditionalFormatting sqref="M127">
    <cfRule type="containsText" dxfId="739" priority="1116" operator="containsText" text="X">
      <formula>NOT(ISERROR(SEARCH("X",M127)))</formula>
    </cfRule>
  </conditionalFormatting>
  <conditionalFormatting sqref="Q127">
    <cfRule type="containsText" dxfId="738" priority="1114" operator="containsText" text="X">
      <formula>NOT(ISERROR(SEARCH("X",Q127)))</formula>
    </cfRule>
  </conditionalFormatting>
  <conditionalFormatting sqref="O130:O140">
    <cfRule type="containsText" dxfId="737" priority="1105" operator="containsText" text="X">
      <formula>NOT(ISERROR(SEARCH("X",O130)))</formula>
    </cfRule>
  </conditionalFormatting>
  <conditionalFormatting sqref="O141:O186">
    <cfRule type="containsText" dxfId="736" priority="1110" operator="containsText" text="X">
      <formula>NOT(ISERROR(SEARCH("X",O141)))</formula>
    </cfRule>
  </conditionalFormatting>
  <conditionalFormatting sqref="I141:I186">
    <cfRule type="containsText" dxfId="735" priority="1113" operator="containsText" text="X">
      <formula>NOT(ISERROR(SEARCH("X",I141)))</formula>
    </cfRule>
  </conditionalFormatting>
  <conditionalFormatting sqref="K141:K186">
    <cfRule type="containsText" dxfId="734" priority="1112" operator="containsText" text="X">
      <formula>NOT(ISERROR(SEARCH("X",K141)))</formula>
    </cfRule>
  </conditionalFormatting>
  <conditionalFormatting sqref="M141:M186">
    <cfRule type="containsText" dxfId="733" priority="1111" operator="containsText" text="X">
      <formula>NOT(ISERROR(SEARCH("X",M141)))</formula>
    </cfRule>
  </conditionalFormatting>
  <conditionalFormatting sqref="Q141:Q186">
    <cfRule type="containsText" dxfId="732" priority="1109" operator="containsText" text="X">
      <formula>NOT(ISERROR(SEARCH("X",Q141)))</formula>
    </cfRule>
  </conditionalFormatting>
  <conditionalFormatting sqref="I130:I140">
    <cfRule type="containsText" dxfId="731" priority="1108" operator="containsText" text="X">
      <formula>NOT(ISERROR(SEARCH("X",I130)))</formula>
    </cfRule>
  </conditionalFormatting>
  <conditionalFormatting sqref="K130:K140">
    <cfRule type="containsText" dxfId="730" priority="1107" operator="containsText" text="X">
      <formula>NOT(ISERROR(SEARCH("X",K130)))</formula>
    </cfRule>
  </conditionalFormatting>
  <conditionalFormatting sqref="M130:M140">
    <cfRule type="containsText" dxfId="729" priority="1106" operator="containsText" text="X">
      <formula>NOT(ISERROR(SEARCH("X",M130)))</formula>
    </cfRule>
  </conditionalFormatting>
  <conditionalFormatting sqref="Q130:Q140">
    <cfRule type="containsText" dxfId="728" priority="1104" operator="containsText" text="X">
      <formula>NOT(ISERROR(SEARCH("X",Q130)))</formula>
    </cfRule>
  </conditionalFormatting>
  <conditionalFormatting sqref="O189:O199">
    <cfRule type="containsText" dxfId="727" priority="1095" operator="containsText" text="X">
      <formula>NOT(ISERROR(SEARCH("X",O189)))</formula>
    </cfRule>
  </conditionalFormatting>
  <conditionalFormatting sqref="O200:O222">
    <cfRule type="containsText" dxfId="726" priority="1100" operator="containsText" text="X">
      <formula>NOT(ISERROR(SEARCH("X",O200)))</formula>
    </cfRule>
  </conditionalFormatting>
  <conditionalFormatting sqref="I200:I222">
    <cfRule type="containsText" dxfId="725" priority="1103" operator="containsText" text="X">
      <formula>NOT(ISERROR(SEARCH("X",I200)))</formula>
    </cfRule>
  </conditionalFormatting>
  <conditionalFormatting sqref="K200:K222">
    <cfRule type="containsText" dxfId="724" priority="1102" operator="containsText" text="X">
      <formula>NOT(ISERROR(SEARCH("X",K200)))</formula>
    </cfRule>
  </conditionalFormatting>
  <conditionalFormatting sqref="M200:M222">
    <cfRule type="containsText" dxfId="723" priority="1101" operator="containsText" text="X">
      <formula>NOT(ISERROR(SEARCH("X",M200)))</formula>
    </cfRule>
  </conditionalFormatting>
  <conditionalFormatting sqref="Q200:Q222">
    <cfRule type="containsText" dxfId="722" priority="1099" operator="containsText" text="X">
      <formula>NOT(ISERROR(SEARCH("X",Q200)))</formula>
    </cfRule>
  </conditionalFormatting>
  <conditionalFormatting sqref="I189:I199">
    <cfRule type="containsText" dxfId="721" priority="1098" operator="containsText" text="X">
      <formula>NOT(ISERROR(SEARCH("X",I189)))</formula>
    </cfRule>
  </conditionalFormatting>
  <conditionalFormatting sqref="K189:K199">
    <cfRule type="containsText" dxfId="720" priority="1097" operator="containsText" text="X">
      <formula>NOT(ISERROR(SEARCH("X",K189)))</formula>
    </cfRule>
  </conditionalFormatting>
  <conditionalFormatting sqref="M189:M199">
    <cfRule type="containsText" dxfId="719" priority="1096" operator="containsText" text="X">
      <formula>NOT(ISERROR(SEARCH("X",M189)))</formula>
    </cfRule>
  </conditionalFormatting>
  <conditionalFormatting sqref="Q189:Q199">
    <cfRule type="containsText" dxfId="718" priority="1094" operator="containsText" text="X">
      <formula>NOT(ISERROR(SEARCH("X",Q189)))</formula>
    </cfRule>
  </conditionalFormatting>
  <conditionalFormatting sqref="O225:O235">
    <cfRule type="containsText" dxfId="717" priority="1085" operator="containsText" text="X">
      <formula>NOT(ISERROR(SEARCH("X",O225)))</formula>
    </cfRule>
  </conditionalFormatting>
  <conditionalFormatting sqref="O236:O254">
    <cfRule type="containsText" dxfId="716" priority="1090" operator="containsText" text="X">
      <formula>NOT(ISERROR(SEARCH("X",O236)))</formula>
    </cfRule>
  </conditionalFormatting>
  <conditionalFormatting sqref="I236:I254">
    <cfRule type="containsText" dxfId="715" priority="1093" operator="containsText" text="X">
      <formula>NOT(ISERROR(SEARCH("X",I236)))</formula>
    </cfRule>
  </conditionalFormatting>
  <conditionalFormatting sqref="K236:K254">
    <cfRule type="containsText" dxfId="714" priority="1092" operator="containsText" text="X">
      <formula>NOT(ISERROR(SEARCH("X",K236)))</formula>
    </cfRule>
  </conditionalFormatting>
  <conditionalFormatting sqref="M236:M254">
    <cfRule type="containsText" dxfId="713" priority="1091" operator="containsText" text="X">
      <formula>NOT(ISERROR(SEARCH("X",M236)))</formula>
    </cfRule>
  </conditionalFormatting>
  <conditionalFormatting sqref="Q236:Q254">
    <cfRule type="containsText" dxfId="712" priority="1089" operator="containsText" text="X">
      <formula>NOT(ISERROR(SEARCH("X",Q236)))</formula>
    </cfRule>
  </conditionalFormatting>
  <conditionalFormatting sqref="I225:I235">
    <cfRule type="containsText" dxfId="711" priority="1088" operator="containsText" text="X">
      <formula>NOT(ISERROR(SEARCH("X",I225)))</formula>
    </cfRule>
  </conditionalFormatting>
  <conditionalFormatting sqref="K225:K235">
    <cfRule type="containsText" dxfId="710" priority="1087" operator="containsText" text="X">
      <formula>NOT(ISERROR(SEARCH("X",K225)))</formula>
    </cfRule>
  </conditionalFormatting>
  <conditionalFormatting sqref="M225:M235">
    <cfRule type="containsText" dxfId="709" priority="1086" operator="containsText" text="X">
      <formula>NOT(ISERROR(SEARCH("X",M225)))</formula>
    </cfRule>
  </conditionalFormatting>
  <conditionalFormatting sqref="Q225:Q235">
    <cfRule type="containsText" dxfId="708" priority="1084" operator="containsText" text="X">
      <formula>NOT(ISERROR(SEARCH("X",Q225)))</formula>
    </cfRule>
  </conditionalFormatting>
  <conditionalFormatting sqref="O257:O267">
    <cfRule type="containsText" dxfId="707" priority="1075" operator="containsText" text="X">
      <formula>NOT(ISERROR(SEARCH("X",O257)))</formula>
    </cfRule>
  </conditionalFormatting>
  <conditionalFormatting sqref="O268:O283">
    <cfRule type="containsText" dxfId="706" priority="1080" operator="containsText" text="X">
      <formula>NOT(ISERROR(SEARCH("X",O268)))</formula>
    </cfRule>
  </conditionalFormatting>
  <conditionalFormatting sqref="I268:I283">
    <cfRule type="containsText" dxfId="705" priority="1083" operator="containsText" text="X">
      <formula>NOT(ISERROR(SEARCH("X",I268)))</formula>
    </cfRule>
  </conditionalFormatting>
  <conditionalFormatting sqref="K268:K283">
    <cfRule type="containsText" dxfId="704" priority="1082" operator="containsText" text="X">
      <formula>NOT(ISERROR(SEARCH("X",K268)))</formula>
    </cfRule>
  </conditionalFormatting>
  <conditionalFormatting sqref="M268:M283">
    <cfRule type="containsText" dxfId="703" priority="1081" operator="containsText" text="X">
      <formula>NOT(ISERROR(SEARCH("X",M268)))</formula>
    </cfRule>
  </conditionalFormatting>
  <conditionalFormatting sqref="Q268:Q283">
    <cfRule type="containsText" dxfId="702" priority="1079" operator="containsText" text="X">
      <formula>NOT(ISERROR(SEARCH("X",Q268)))</formula>
    </cfRule>
  </conditionalFormatting>
  <conditionalFormatting sqref="I257:I267">
    <cfRule type="containsText" dxfId="701" priority="1078" operator="containsText" text="X">
      <formula>NOT(ISERROR(SEARCH("X",I257)))</formula>
    </cfRule>
  </conditionalFormatting>
  <conditionalFormatting sqref="K257:K267">
    <cfRule type="containsText" dxfId="700" priority="1077" operator="containsText" text="X">
      <formula>NOT(ISERROR(SEARCH("X",K257)))</formula>
    </cfRule>
  </conditionalFormatting>
  <conditionalFormatting sqref="M257:M267">
    <cfRule type="containsText" dxfId="699" priority="1076" operator="containsText" text="X">
      <formula>NOT(ISERROR(SEARCH("X",M257)))</formula>
    </cfRule>
  </conditionalFormatting>
  <conditionalFormatting sqref="Q257:Q267">
    <cfRule type="containsText" dxfId="698" priority="1074" operator="containsText" text="X">
      <formula>NOT(ISERROR(SEARCH("X",Q257)))</formula>
    </cfRule>
  </conditionalFormatting>
  <conditionalFormatting sqref="O286:O296">
    <cfRule type="containsText" dxfId="697" priority="1065" operator="containsText" text="X">
      <formula>NOT(ISERROR(SEARCH("X",O286)))</formula>
    </cfRule>
  </conditionalFormatting>
  <conditionalFormatting sqref="O297:O320">
    <cfRule type="containsText" dxfId="696" priority="1070" operator="containsText" text="X">
      <formula>NOT(ISERROR(SEARCH("X",O297)))</formula>
    </cfRule>
  </conditionalFormatting>
  <conditionalFormatting sqref="I297:I320">
    <cfRule type="containsText" dxfId="695" priority="1073" operator="containsText" text="X">
      <formula>NOT(ISERROR(SEARCH("X",I297)))</formula>
    </cfRule>
  </conditionalFormatting>
  <conditionalFormatting sqref="K297:K320">
    <cfRule type="containsText" dxfId="694" priority="1072" operator="containsText" text="X">
      <formula>NOT(ISERROR(SEARCH("X",K297)))</formula>
    </cfRule>
  </conditionalFormatting>
  <conditionalFormatting sqref="M297:M320">
    <cfRule type="containsText" dxfId="693" priority="1071" operator="containsText" text="X">
      <formula>NOT(ISERROR(SEARCH("X",M297)))</formula>
    </cfRule>
  </conditionalFormatting>
  <conditionalFormatting sqref="Q297:Q320">
    <cfRule type="containsText" dxfId="692" priority="1069" operator="containsText" text="X">
      <formula>NOT(ISERROR(SEARCH("X",Q297)))</formula>
    </cfRule>
  </conditionalFormatting>
  <conditionalFormatting sqref="I286:I296">
    <cfRule type="containsText" dxfId="691" priority="1068" operator="containsText" text="X">
      <formula>NOT(ISERROR(SEARCH("X",I286)))</formula>
    </cfRule>
  </conditionalFormatting>
  <conditionalFormatting sqref="K286:K296">
    <cfRule type="containsText" dxfId="690" priority="1067" operator="containsText" text="X">
      <formula>NOT(ISERROR(SEARCH("X",K286)))</formula>
    </cfRule>
  </conditionalFormatting>
  <conditionalFormatting sqref="M286:M296">
    <cfRule type="containsText" dxfId="689" priority="1066" operator="containsText" text="X">
      <formula>NOT(ISERROR(SEARCH("X",M286)))</formula>
    </cfRule>
  </conditionalFormatting>
  <conditionalFormatting sqref="Q286:Q296">
    <cfRule type="containsText" dxfId="688" priority="1064" operator="containsText" text="X">
      <formula>NOT(ISERROR(SEARCH("X",Q286)))</formula>
    </cfRule>
  </conditionalFormatting>
  <conditionalFormatting sqref="O323:O341">
    <cfRule type="containsText" dxfId="687" priority="1060" operator="containsText" text="X">
      <formula>NOT(ISERROR(SEARCH("X",O323)))</formula>
    </cfRule>
  </conditionalFormatting>
  <conditionalFormatting sqref="I323:I341">
    <cfRule type="containsText" dxfId="686" priority="1063" operator="containsText" text="X">
      <formula>NOT(ISERROR(SEARCH("X",I323)))</formula>
    </cfRule>
  </conditionalFormatting>
  <conditionalFormatting sqref="K323:K341">
    <cfRule type="containsText" dxfId="685" priority="1062" operator="containsText" text="X">
      <formula>NOT(ISERROR(SEARCH("X",K323)))</formula>
    </cfRule>
  </conditionalFormatting>
  <conditionalFormatting sqref="M323:M341">
    <cfRule type="containsText" dxfId="684" priority="1061" operator="containsText" text="X">
      <formula>NOT(ISERROR(SEARCH("X",M323)))</formula>
    </cfRule>
  </conditionalFormatting>
  <conditionalFormatting sqref="Q323:Q341">
    <cfRule type="containsText" dxfId="683" priority="1059" operator="containsText" text="X">
      <formula>NOT(ISERROR(SEARCH("X",Q323)))</formula>
    </cfRule>
  </conditionalFormatting>
  <conditionalFormatting sqref="O344:O351">
    <cfRule type="containsText" dxfId="682" priority="1055" operator="containsText" text="X">
      <formula>NOT(ISERROR(SEARCH("X",O344)))</formula>
    </cfRule>
  </conditionalFormatting>
  <conditionalFormatting sqref="I344:I351">
    <cfRule type="containsText" dxfId="681" priority="1058" operator="containsText" text="X">
      <formula>NOT(ISERROR(SEARCH("X",I344)))</formula>
    </cfRule>
  </conditionalFormatting>
  <conditionalFormatting sqref="K344:K351">
    <cfRule type="containsText" dxfId="680" priority="1057" operator="containsText" text="X">
      <formula>NOT(ISERROR(SEARCH("X",K344)))</formula>
    </cfRule>
  </conditionalFormatting>
  <conditionalFormatting sqref="M344:M351">
    <cfRule type="containsText" dxfId="679" priority="1056" operator="containsText" text="X">
      <formula>NOT(ISERROR(SEARCH("X",M344)))</formula>
    </cfRule>
  </conditionalFormatting>
  <conditionalFormatting sqref="Q344:Q351">
    <cfRule type="containsText" dxfId="678" priority="1054" operator="containsText" text="X">
      <formula>NOT(ISERROR(SEARCH("X",Q344)))</formula>
    </cfRule>
  </conditionalFormatting>
  <conditionalFormatting sqref="O354:O357">
    <cfRule type="containsText" dxfId="677" priority="1050" operator="containsText" text="X">
      <formula>NOT(ISERROR(SEARCH("X",O354)))</formula>
    </cfRule>
  </conditionalFormatting>
  <conditionalFormatting sqref="I354:I357">
    <cfRule type="containsText" dxfId="676" priority="1053" operator="containsText" text="X">
      <formula>NOT(ISERROR(SEARCH("X",I354)))</formula>
    </cfRule>
  </conditionalFormatting>
  <conditionalFormatting sqref="K354:K357">
    <cfRule type="containsText" dxfId="675" priority="1052" operator="containsText" text="X">
      <formula>NOT(ISERROR(SEARCH("X",K354)))</formula>
    </cfRule>
  </conditionalFormatting>
  <conditionalFormatting sqref="M354:M357">
    <cfRule type="containsText" dxfId="674" priority="1051" operator="containsText" text="X">
      <formula>NOT(ISERROR(SEARCH("X",M354)))</formula>
    </cfRule>
  </conditionalFormatting>
  <conditionalFormatting sqref="Q354:Q357">
    <cfRule type="containsText" dxfId="673" priority="1049" operator="containsText" text="X">
      <formula>NOT(ISERROR(SEARCH("X",Q354)))</formula>
    </cfRule>
  </conditionalFormatting>
  <conditionalFormatting sqref="O361:O374">
    <cfRule type="containsText" dxfId="672" priority="1045" operator="containsText" text="X">
      <formula>NOT(ISERROR(SEARCH("X",O361)))</formula>
    </cfRule>
  </conditionalFormatting>
  <conditionalFormatting sqref="I361:I374">
    <cfRule type="containsText" dxfId="671" priority="1048" operator="containsText" text="X">
      <formula>NOT(ISERROR(SEARCH("X",I361)))</formula>
    </cfRule>
  </conditionalFormatting>
  <conditionalFormatting sqref="K361:K374">
    <cfRule type="containsText" dxfId="670" priority="1047" operator="containsText" text="X">
      <formula>NOT(ISERROR(SEARCH("X",K361)))</formula>
    </cfRule>
  </conditionalFormatting>
  <conditionalFormatting sqref="M361:M374">
    <cfRule type="containsText" dxfId="669" priority="1046" operator="containsText" text="X">
      <formula>NOT(ISERROR(SEARCH("X",M361)))</formula>
    </cfRule>
  </conditionalFormatting>
  <conditionalFormatting sqref="Q361:Q374">
    <cfRule type="containsText" dxfId="668" priority="1044" operator="containsText" text="X">
      <formula>NOT(ISERROR(SEARCH("X",Q361)))</formula>
    </cfRule>
  </conditionalFormatting>
  <conditionalFormatting sqref="O377:O378">
    <cfRule type="containsText" dxfId="667" priority="1040" operator="containsText" text="X">
      <formula>NOT(ISERROR(SEARCH("X",O377)))</formula>
    </cfRule>
  </conditionalFormatting>
  <conditionalFormatting sqref="I377:I378">
    <cfRule type="containsText" dxfId="666" priority="1043" operator="containsText" text="X">
      <formula>NOT(ISERROR(SEARCH("X",I377)))</formula>
    </cfRule>
  </conditionalFormatting>
  <conditionalFormatting sqref="K377:K378">
    <cfRule type="containsText" dxfId="665" priority="1042" operator="containsText" text="X">
      <formula>NOT(ISERROR(SEARCH("X",K377)))</formula>
    </cfRule>
  </conditionalFormatting>
  <conditionalFormatting sqref="M377:M378">
    <cfRule type="containsText" dxfId="664" priority="1041" operator="containsText" text="X">
      <formula>NOT(ISERROR(SEARCH("X",M377)))</formula>
    </cfRule>
  </conditionalFormatting>
  <conditionalFormatting sqref="Q377:Q378">
    <cfRule type="containsText" dxfId="663" priority="1039" operator="containsText" text="X">
      <formula>NOT(ISERROR(SEARCH("X",Q377)))</formula>
    </cfRule>
  </conditionalFormatting>
  <conditionalFormatting sqref="O381:O395">
    <cfRule type="containsText" dxfId="662" priority="1035" operator="containsText" text="X">
      <formula>NOT(ISERROR(SEARCH("X",O381)))</formula>
    </cfRule>
  </conditionalFormatting>
  <conditionalFormatting sqref="I381:I395">
    <cfRule type="containsText" dxfId="661" priority="1038" operator="containsText" text="X">
      <formula>NOT(ISERROR(SEARCH("X",I381)))</formula>
    </cfRule>
  </conditionalFormatting>
  <conditionalFormatting sqref="K381:K395">
    <cfRule type="containsText" dxfId="660" priority="1037" operator="containsText" text="X">
      <formula>NOT(ISERROR(SEARCH("X",K381)))</formula>
    </cfRule>
  </conditionalFormatting>
  <conditionalFormatting sqref="M381:M395">
    <cfRule type="containsText" dxfId="659" priority="1036" operator="containsText" text="X">
      <formula>NOT(ISERROR(SEARCH("X",M381)))</formula>
    </cfRule>
  </conditionalFormatting>
  <conditionalFormatting sqref="Q381:Q395">
    <cfRule type="containsText" dxfId="658" priority="1034" operator="containsText" text="X">
      <formula>NOT(ISERROR(SEARCH("X",Q381)))</formula>
    </cfRule>
  </conditionalFormatting>
  <conditionalFormatting sqref="E13:G37 E642:G642 E637:G638 E633:G634">
    <cfRule type="notContainsBlanks" dxfId="657" priority="1033">
      <formula>LEN(TRIM(E13))&gt;0</formula>
    </cfRule>
  </conditionalFormatting>
  <conditionalFormatting sqref="E40:G50">
    <cfRule type="notContainsBlanks" dxfId="656" priority="1032">
      <formula>LEN(TRIM(E40))&gt;0</formula>
    </cfRule>
  </conditionalFormatting>
  <conditionalFormatting sqref="E53:G78">
    <cfRule type="notContainsBlanks" dxfId="655" priority="1031">
      <formula>LEN(TRIM(E53))&gt;0</formula>
    </cfRule>
  </conditionalFormatting>
  <conditionalFormatting sqref="E81:G124">
    <cfRule type="notContainsBlanks" dxfId="654" priority="1030">
      <formula>LEN(TRIM(E81))&gt;0</formula>
    </cfRule>
  </conditionalFormatting>
  <conditionalFormatting sqref="E127:G127">
    <cfRule type="notContainsBlanks" dxfId="653" priority="1029">
      <formula>LEN(TRIM(E127))&gt;0</formula>
    </cfRule>
  </conditionalFormatting>
  <conditionalFormatting sqref="E130:G186">
    <cfRule type="notContainsBlanks" dxfId="652" priority="1028">
      <formula>LEN(TRIM(E130))&gt;0</formula>
    </cfRule>
  </conditionalFormatting>
  <conditionalFormatting sqref="E189:G222">
    <cfRule type="notContainsBlanks" dxfId="651" priority="1027">
      <formula>LEN(TRIM(E189))&gt;0</formula>
    </cfRule>
  </conditionalFormatting>
  <conditionalFormatting sqref="E225:G254">
    <cfRule type="notContainsBlanks" dxfId="650" priority="1026">
      <formula>LEN(TRIM(E225))&gt;0</formula>
    </cfRule>
  </conditionalFormatting>
  <conditionalFormatting sqref="E257:G283">
    <cfRule type="notContainsBlanks" dxfId="649" priority="1025">
      <formula>LEN(TRIM(E257))&gt;0</formula>
    </cfRule>
  </conditionalFormatting>
  <conditionalFormatting sqref="E286:G320">
    <cfRule type="notContainsBlanks" dxfId="648" priority="1024">
      <formula>LEN(TRIM(E286))&gt;0</formula>
    </cfRule>
  </conditionalFormatting>
  <conditionalFormatting sqref="E323:G341">
    <cfRule type="notContainsBlanks" dxfId="647" priority="1023">
      <formula>LEN(TRIM(E323))&gt;0</formula>
    </cfRule>
  </conditionalFormatting>
  <conditionalFormatting sqref="E344:G351">
    <cfRule type="notContainsBlanks" dxfId="646" priority="1022">
      <formula>LEN(TRIM(E344))&gt;0</formula>
    </cfRule>
  </conditionalFormatting>
  <conditionalFormatting sqref="E354:G356">
    <cfRule type="notContainsBlanks" dxfId="645" priority="1021">
      <formula>LEN(TRIM(E354))&gt;0</formula>
    </cfRule>
  </conditionalFormatting>
  <conditionalFormatting sqref="E361:G374">
    <cfRule type="notContainsBlanks" dxfId="644" priority="1020">
      <formula>LEN(TRIM(E361))&gt;0</formula>
    </cfRule>
  </conditionalFormatting>
  <conditionalFormatting sqref="E377:G378">
    <cfRule type="notContainsBlanks" dxfId="643" priority="1019">
      <formula>LEN(TRIM(E377))&gt;0</formula>
    </cfRule>
  </conditionalFormatting>
  <conditionalFormatting sqref="E381:G395">
    <cfRule type="notContainsBlanks" dxfId="642" priority="1018">
      <formula>LEN(TRIM(E381))&gt;0</formula>
    </cfRule>
  </conditionalFormatting>
  <conditionalFormatting sqref="O399:O424">
    <cfRule type="containsText" dxfId="641" priority="1014" operator="containsText" text="X">
      <formula>NOT(ISERROR(SEARCH("X",O399)))</formula>
    </cfRule>
  </conditionalFormatting>
  <conditionalFormatting sqref="I399:I424">
    <cfRule type="containsText" dxfId="640" priority="1017" operator="containsText" text="X">
      <formula>NOT(ISERROR(SEARCH("X",I399)))</formula>
    </cfRule>
  </conditionalFormatting>
  <conditionalFormatting sqref="K399:K424">
    <cfRule type="containsText" dxfId="639" priority="1016" operator="containsText" text="X">
      <formula>NOT(ISERROR(SEARCH("X",K399)))</formula>
    </cfRule>
  </conditionalFormatting>
  <conditionalFormatting sqref="M399:M424">
    <cfRule type="containsText" dxfId="638" priority="1015" operator="containsText" text="X">
      <formula>NOT(ISERROR(SEARCH("X",M399)))</formula>
    </cfRule>
  </conditionalFormatting>
  <conditionalFormatting sqref="Q399:Q424">
    <cfRule type="containsText" dxfId="637" priority="1013" operator="containsText" text="X">
      <formula>NOT(ISERROR(SEARCH("X",Q399)))</formula>
    </cfRule>
  </conditionalFormatting>
  <conditionalFormatting sqref="E399:G424">
    <cfRule type="notContainsBlanks" dxfId="636" priority="1012">
      <formula>LEN(TRIM(E399))&gt;0</formula>
    </cfRule>
  </conditionalFormatting>
  <conditionalFormatting sqref="E427:G453">
    <cfRule type="notContainsBlanks" dxfId="635" priority="1011">
      <formula>LEN(TRIM(E427))&gt;0</formula>
    </cfRule>
  </conditionalFormatting>
  <conditionalFormatting sqref="O427:O453">
    <cfRule type="containsText" dxfId="634" priority="1007" operator="containsText" text="X">
      <formula>NOT(ISERROR(SEARCH("X",O427)))</formula>
    </cfRule>
  </conditionalFormatting>
  <conditionalFormatting sqref="I427:I453">
    <cfRule type="containsText" dxfId="633" priority="1010" operator="containsText" text="X">
      <formula>NOT(ISERROR(SEARCH("X",I427)))</formula>
    </cfRule>
  </conditionalFormatting>
  <conditionalFormatting sqref="K427:K453">
    <cfRule type="containsText" dxfId="632" priority="1009" operator="containsText" text="X">
      <formula>NOT(ISERROR(SEARCH("X",K427)))</formula>
    </cfRule>
  </conditionalFormatting>
  <conditionalFormatting sqref="M427:M453">
    <cfRule type="containsText" dxfId="631" priority="1008" operator="containsText" text="X">
      <formula>NOT(ISERROR(SEARCH("X",M427)))</formula>
    </cfRule>
  </conditionalFormatting>
  <conditionalFormatting sqref="Q427:Q453">
    <cfRule type="containsText" dxfId="630" priority="1006" operator="containsText" text="X">
      <formula>NOT(ISERROR(SEARCH("X",Q427)))</formula>
    </cfRule>
  </conditionalFormatting>
  <conditionalFormatting sqref="E456:G477">
    <cfRule type="notContainsBlanks" dxfId="629" priority="1005">
      <formula>LEN(TRIM(E456))&gt;0</formula>
    </cfRule>
  </conditionalFormatting>
  <conditionalFormatting sqref="O456:O477">
    <cfRule type="containsText" dxfId="628" priority="1001" operator="containsText" text="X">
      <formula>NOT(ISERROR(SEARCH("X",O456)))</formula>
    </cfRule>
  </conditionalFormatting>
  <conditionalFormatting sqref="I456:I477">
    <cfRule type="containsText" dxfId="627" priority="1004" operator="containsText" text="X">
      <formula>NOT(ISERROR(SEARCH("X",I456)))</formula>
    </cfRule>
  </conditionalFormatting>
  <conditionalFormatting sqref="K456:K477">
    <cfRule type="containsText" dxfId="626" priority="1003" operator="containsText" text="X">
      <formula>NOT(ISERROR(SEARCH("X",K456)))</formula>
    </cfRule>
  </conditionalFormatting>
  <conditionalFormatting sqref="M456:M477">
    <cfRule type="containsText" dxfId="625" priority="1002" operator="containsText" text="X">
      <formula>NOT(ISERROR(SEARCH("X",M456)))</formula>
    </cfRule>
  </conditionalFormatting>
  <conditionalFormatting sqref="Q456:Q477">
    <cfRule type="containsText" dxfId="624" priority="1000" operator="containsText" text="X">
      <formula>NOT(ISERROR(SEARCH("X",Q456)))</formula>
    </cfRule>
  </conditionalFormatting>
  <conditionalFormatting sqref="E480:G501">
    <cfRule type="notContainsBlanks" dxfId="623" priority="999">
      <formula>LEN(TRIM(E480))&gt;0</formula>
    </cfRule>
  </conditionalFormatting>
  <conditionalFormatting sqref="O480:O501">
    <cfRule type="containsText" dxfId="622" priority="995" operator="containsText" text="X">
      <formula>NOT(ISERROR(SEARCH("X",O480)))</formula>
    </cfRule>
  </conditionalFormatting>
  <conditionalFormatting sqref="I480:I501">
    <cfRule type="containsText" dxfId="621" priority="998" operator="containsText" text="X">
      <formula>NOT(ISERROR(SEARCH("X",I480)))</formula>
    </cfRule>
  </conditionalFormatting>
  <conditionalFormatting sqref="K480:K501">
    <cfRule type="containsText" dxfId="620" priority="997" operator="containsText" text="X">
      <formula>NOT(ISERROR(SEARCH("X",K480)))</formula>
    </cfRule>
  </conditionalFormatting>
  <conditionalFormatting sqref="M480:M501">
    <cfRule type="containsText" dxfId="619" priority="996" operator="containsText" text="X">
      <formula>NOT(ISERROR(SEARCH("X",M480)))</formula>
    </cfRule>
  </conditionalFormatting>
  <conditionalFormatting sqref="Q480:Q501">
    <cfRule type="containsText" dxfId="618" priority="994" operator="containsText" text="X">
      <formula>NOT(ISERROR(SEARCH("X",Q480)))</formula>
    </cfRule>
  </conditionalFormatting>
  <conditionalFormatting sqref="E504:G523">
    <cfRule type="notContainsBlanks" dxfId="617" priority="993">
      <formula>LEN(TRIM(E504))&gt;0</formula>
    </cfRule>
  </conditionalFormatting>
  <conditionalFormatting sqref="O504:O523">
    <cfRule type="containsText" dxfId="616" priority="989" operator="containsText" text="X">
      <formula>NOT(ISERROR(SEARCH("X",O504)))</formula>
    </cfRule>
  </conditionalFormatting>
  <conditionalFormatting sqref="I504:I523">
    <cfRule type="containsText" dxfId="615" priority="992" operator="containsText" text="X">
      <formula>NOT(ISERROR(SEARCH("X",I504)))</formula>
    </cfRule>
  </conditionalFormatting>
  <conditionalFormatting sqref="K504:K523">
    <cfRule type="containsText" dxfId="614" priority="991" operator="containsText" text="X">
      <formula>NOT(ISERROR(SEARCH("X",K504)))</formula>
    </cfRule>
  </conditionalFormatting>
  <conditionalFormatting sqref="M504:M523">
    <cfRule type="containsText" dxfId="613" priority="990" operator="containsText" text="X">
      <formula>NOT(ISERROR(SEARCH("X",M504)))</formula>
    </cfRule>
  </conditionalFormatting>
  <conditionalFormatting sqref="Q504:Q523">
    <cfRule type="containsText" dxfId="612" priority="988" operator="containsText" text="X">
      <formula>NOT(ISERROR(SEARCH("X",Q504)))</formula>
    </cfRule>
  </conditionalFormatting>
  <conditionalFormatting sqref="O645:O646">
    <cfRule type="containsText" dxfId="611" priority="972" operator="containsText" text="X">
      <formula>NOT(ISERROR(SEARCH("X",O645)))</formula>
    </cfRule>
  </conditionalFormatting>
  <conditionalFormatting sqref="I645:I646">
    <cfRule type="containsText" dxfId="610" priority="975" operator="containsText" text="X">
      <formula>NOT(ISERROR(SEARCH("X",I645)))</formula>
    </cfRule>
  </conditionalFormatting>
  <conditionalFormatting sqref="K645:K646">
    <cfRule type="containsText" dxfId="609" priority="974" operator="containsText" text="X">
      <formula>NOT(ISERROR(SEARCH("X",K645)))</formula>
    </cfRule>
  </conditionalFormatting>
  <conditionalFormatting sqref="M645:M646">
    <cfRule type="containsText" dxfId="608" priority="973" operator="containsText" text="X">
      <formula>NOT(ISERROR(SEARCH("X",M645)))</formula>
    </cfRule>
  </conditionalFormatting>
  <conditionalFormatting sqref="Q645:Q646">
    <cfRule type="containsText" dxfId="607" priority="971" operator="containsText" text="X">
      <formula>NOT(ISERROR(SEARCH("X",Q645)))</formula>
    </cfRule>
  </conditionalFormatting>
  <conditionalFormatting sqref="E645:G646">
    <cfRule type="notContainsBlanks" dxfId="606" priority="965">
      <formula>LEN(TRIM(E645))&gt;0</formula>
    </cfRule>
  </conditionalFormatting>
  <conditionalFormatting sqref="O553">
    <cfRule type="containsText" dxfId="605" priority="955" operator="containsText" text="X">
      <formula>NOT(ISERROR(SEARCH("X",O553)))</formula>
    </cfRule>
  </conditionalFormatting>
  <conditionalFormatting sqref="I553">
    <cfRule type="containsText" dxfId="604" priority="958" operator="containsText" text="X">
      <formula>NOT(ISERROR(SEARCH("X",I553)))</formula>
    </cfRule>
  </conditionalFormatting>
  <conditionalFormatting sqref="K553">
    <cfRule type="containsText" dxfId="603" priority="957" operator="containsText" text="X">
      <formula>NOT(ISERROR(SEARCH("X",K553)))</formula>
    </cfRule>
  </conditionalFormatting>
  <conditionalFormatting sqref="M553">
    <cfRule type="containsText" dxfId="602" priority="956" operator="containsText" text="X">
      <formula>NOT(ISERROR(SEARCH("X",M553)))</formula>
    </cfRule>
  </conditionalFormatting>
  <conditionalFormatting sqref="Q553">
    <cfRule type="containsText" dxfId="601" priority="954" operator="containsText" text="X">
      <formula>NOT(ISERROR(SEARCH("X",Q553)))</formula>
    </cfRule>
  </conditionalFormatting>
  <conditionalFormatting sqref="O582">
    <cfRule type="containsText" dxfId="600" priority="950" operator="containsText" text="X">
      <formula>NOT(ISERROR(SEARCH("X",O582)))</formula>
    </cfRule>
  </conditionalFormatting>
  <conditionalFormatting sqref="I582">
    <cfRule type="containsText" dxfId="599" priority="953" operator="containsText" text="X">
      <formula>NOT(ISERROR(SEARCH("X",I582)))</formula>
    </cfRule>
  </conditionalFormatting>
  <conditionalFormatting sqref="K582">
    <cfRule type="containsText" dxfId="598" priority="952" operator="containsText" text="X">
      <formula>NOT(ISERROR(SEARCH("X",K582)))</formula>
    </cfRule>
  </conditionalFormatting>
  <conditionalFormatting sqref="M582">
    <cfRule type="containsText" dxfId="597" priority="951" operator="containsText" text="X">
      <formula>NOT(ISERROR(SEARCH("X",M582)))</formula>
    </cfRule>
  </conditionalFormatting>
  <conditionalFormatting sqref="Q582">
    <cfRule type="containsText" dxfId="596" priority="949" operator="containsText" text="X">
      <formula>NOT(ISERROR(SEARCH("X",Q582)))</formula>
    </cfRule>
  </conditionalFormatting>
  <conditionalFormatting sqref="O606">
    <cfRule type="containsText" dxfId="595" priority="945" operator="containsText" text="X">
      <formula>NOT(ISERROR(SEARCH("X",O606)))</formula>
    </cfRule>
  </conditionalFormatting>
  <conditionalFormatting sqref="I606">
    <cfRule type="containsText" dxfId="594" priority="948" operator="containsText" text="X">
      <formula>NOT(ISERROR(SEARCH("X",I606)))</formula>
    </cfRule>
  </conditionalFormatting>
  <conditionalFormatting sqref="K606">
    <cfRule type="containsText" dxfId="593" priority="947" operator="containsText" text="X">
      <formula>NOT(ISERROR(SEARCH("X",K606)))</formula>
    </cfRule>
  </conditionalFormatting>
  <conditionalFormatting sqref="M606">
    <cfRule type="containsText" dxfId="592" priority="946" operator="containsText" text="X">
      <formula>NOT(ISERROR(SEARCH("X",M606)))</formula>
    </cfRule>
  </conditionalFormatting>
  <conditionalFormatting sqref="Q606">
    <cfRule type="containsText" dxfId="591" priority="944" operator="containsText" text="X">
      <formula>NOT(ISERROR(SEARCH("X",Q606)))</formula>
    </cfRule>
  </conditionalFormatting>
  <conditionalFormatting sqref="E527:G552">
    <cfRule type="notContainsBlanks" dxfId="590" priority="943">
      <formula>LEN(TRIM(E527))&gt;0</formula>
    </cfRule>
  </conditionalFormatting>
  <conditionalFormatting sqref="O527:O552">
    <cfRule type="containsText" dxfId="589" priority="939" operator="containsText" text="X">
      <formula>NOT(ISERROR(SEARCH("X",O527)))</formula>
    </cfRule>
  </conditionalFormatting>
  <conditionalFormatting sqref="I527:I552">
    <cfRule type="containsText" dxfId="588" priority="942" operator="containsText" text="X">
      <formula>NOT(ISERROR(SEARCH("X",I527)))</formula>
    </cfRule>
  </conditionalFormatting>
  <conditionalFormatting sqref="K527:K552">
    <cfRule type="containsText" dxfId="587" priority="941" operator="containsText" text="X">
      <formula>NOT(ISERROR(SEARCH("X",K527)))</formula>
    </cfRule>
  </conditionalFormatting>
  <conditionalFormatting sqref="M527:M552">
    <cfRule type="containsText" dxfId="586" priority="940" operator="containsText" text="X">
      <formula>NOT(ISERROR(SEARCH("X",M527)))</formula>
    </cfRule>
  </conditionalFormatting>
  <conditionalFormatting sqref="Q527:Q552">
    <cfRule type="containsText" dxfId="585" priority="938" operator="containsText" text="X">
      <formula>NOT(ISERROR(SEARCH("X",Q527)))</formula>
    </cfRule>
  </conditionalFormatting>
  <conditionalFormatting sqref="O555:O581">
    <cfRule type="containsText" dxfId="584" priority="934" operator="containsText" text="X">
      <formula>NOT(ISERROR(SEARCH("X",O555)))</formula>
    </cfRule>
  </conditionalFormatting>
  <conditionalFormatting sqref="I555:I581">
    <cfRule type="containsText" dxfId="583" priority="937" operator="containsText" text="X">
      <formula>NOT(ISERROR(SEARCH("X",I555)))</formula>
    </cfRule>
  </conditionalFormatting>
  <conditionalFormatting sqref="K555:K581">
    <cfRule type="containsText" dxfId="582" priority="936" operator="containsText" text="X">
      <formula>NOT(ISERROR(SEARCH("X",K555)))</formula>
    </cfRule>
  </conditionalFormatting>
  <conditionalFormatting sqref="M555:M581">
    <cfRule type="containsText" dxfId="581" priority="935" operator="containsText" text="X">
      <formula>NOT(ISERROR(SEARCH("X",M555)))</formula>
    </cfRule>
  </conditionalFormatting>
  <conditionalFormatting sqref="Q555:Q581">
    <cfRule type="containsText" dxfId="580" priority="933" operator="containsText" text="X">
      <formula>NOT(ISERROR(SEARCH("X",Q555)))</formula>
    </cfRule>
  </conditionalFormatting>
  <conditionalFormatting sqref="E555:G581">
    <cfRule type="notContainsBlanks" dxfId="579" priority="932">
      <formula>LEN(TRIM(E555))&gt;0</formula>
    </cfRule>
  </conditionalFormatting>
  <conditionalFormatting sqref="O584:O605">
    <cfRule type="containsText" dxfId="578" priority="928" operator="containsText" text="X">
      <formula>NOT(ISERROR(SEARCH("X",O584)))</formula>
    </cfRule>
  </conditionalFormatting>
  <conditionalFormatting sqref="I584:I605">
    <cfRule type="containsText" dxfId="577" priority="931" operator="containsText" text="X">
      <formula>NOT(ISERROR(SEARCH("X",I584)))</formula>
    </cfRule>
  </conditionalFormatting>
  <conditionalFormatting sqref="K584:K605">
    <cfRule type="containsText" dxfId="576" priority="930" operator="containsText" text="X">
      <formula>NOT(ISERROR(SEARCH("X",K584)))</formula>
    </cfRule>
  </conditionalFormatting>
  <conditionalFormatting sqref="M584:M605">
    <cfRule type="containsText" dxfId="575" priority="929" operator="containsText" text="X">
      <formula>NOT(ISERROR(SEARCH("X",M584)))</formula>
    </cfRule>
  </conditionalFormatting>
  <conditionalFormatting sqref="Q584:Q605">
    <cfRule type="containsText" dxfId="574" priority="927" operator="containsText" text="X">
      <formula>NOT(ISERROR(SEARCH("X",Q584)))</formula>
    </cfRule>
  </conditionalFormatting>
  <conditionalFormatting sqref="O608:O629">
    <cfRule type="containsText" dxfId="573" priority="923" operator="containsText" text="X">
      <formula>NOT(ISERROR(SEARCH("X",O608)))</formula>
    </cfRule>
  </conditionalFormatting>
  <conditionalFormatting sqref="I608:I629">
    <cfRule type="containsText" dxfId="572" priority="926" operator="containsText" text="X">
      <formula>NOT(ISERROR(SEARCH("X",I608)))</formula>
    </cfRule>
  </conditionalFormatting>
  <conditionalFormatting sqref="K608:K629">
    <cfRule type="containsText" dxfId="571" priority="925" operator="containsText" text="X">
      <formula>NOT(ISERROR(SEARCH("X",K608)))</formula>
    </cfRule>
  </conditionalFormatting>
  <conditionalFormatting sqref="M608:M629">
    <cfRule type="containsText" dxfId="570" priority="924" operator="containsText" text="X">
      <formula>NOT(ISERROR(SEARCH("X",M608)))</formula>
    </cfRule>
  </conditionalFormatting>
  <conditionalFormatting sqref="Q608:Q629">
    <cfRule type="containsText" dxfId="569" priority="922" operator="containsText" text="X">
      <formula>NOT(ISERROR(SEARCH("X",Q608)))</formula>
    </cfRule>
  </conditionalFormatting>
  <conditionalFormatting sqref="E584:G605">
    <cfRule type="notContainsBlanks" dxfId="568" priority="921">
      <formula>LEN(TRIM(E584))&gt;0</formula>
    </cfRule>
  </conditionalFormatting>
  <conditionalFormatting sqref="E608:G629">
    <cfRule type="notContainsBlanks" dxfId="567" priority="920">
      <formula>LEN(TRIM(E608))&gt;0</formula>
    </cfRule>
  </conditionalFormatting>
  <conditionalFormatting sqref="O630">
    <cfRule type="containsText" dxfId="566" priority="916" operator="containsText" text="X">
      <formula>NOT(ISERROR(SEARCH("X",O630)))</formula>
    </cfRule>
  </conditionalFormatting>
  <conditionalFormatting sqref="I630">
    <cfRule type="containsText" dxfId="565" priority="919" operator="containsText" text="X">
      <formula>NOT(ISERROR(SEARCH("X",I630)))</formula>
    </cfRule>
  </conditionalFormatting>
  <conditionalFormatting sqref="K630">
    <cfRule type="containsText" dxfId="564" priority="918" operator="containsText" text="X">
      <formula>NOT(ISERROR(SEARCH("X",K630)))</formula>
    </cfRule>
  </conditionalFormatting>
  <conditionalFormatting sqref="M630">
    <cfRule type="containsText" dxfId="563" priority="917" operator="containsText" text="X">
      <formula>NOT(ISERROR(SEARCH("X",M630)))</formula>
    </cfRule>
  </conditionalFormatting>
  <conditionalFormatting sqref="Q630">
    <cfRule type="containsText" dxfId="562" priority="915" operator="containsText" text="X">
      <formula>NOT(ISERROR(SEARCH("X",Q630)))</formula>
    </cfRule>
  </conditionalFormatting>
  <conditionalFormatting sqref="O643">
    <cfRule type="containsText" dxfId="561" priority="911" operator="containsText" text="X">
      <formula>NOT(ISERROR(SEARCH("X",O643)))</formula>
    </cfRule>
  </conditionalFormatting>
  <conditionalFormatting sqref="I643">
    <cfRule type="containsText" dxfId="560" priority="914" operator="containsText" text="X">
      <formula>NOT(ISERROR(SEARCH("X",I643)))</formula>
    </cfRule>
  </conditionalFormatting>
  <conditionalFormatting sqref="K643">
    <cfRule type="containsText" dxfId="559" priority="913" operator="containsText" text="X">
      <formula>NOT(ISERROR(SEARCH("X",K643)))</formula>
    </cfRule>
  </conditionalFormatting>
  <conditionalFormatting sqref="M643">
    <cfRule type="containsText" dxfId="558" priority="912" operator="containsText" text="X">
      <formula>NOT(ISERROR(SEARCH("X",M643)))</formula>
    </cfRule>
  </conditionalFormatting>
  <conditionalFormatting sqref="Q643">
    <cfRule type="containsText" dxfId="557" priority="910" operator="containsText" text="X">
      <formula>NOT(ISERROR(SEARCH("X",Q643)))</formula>
    </cfRule>
  </conditionalFormatting>
  <conditionalFormatting sqref="F641:G641">
    <cfRule type="notContainsBlanks" dxfId="556" priority="904">
      <formula>LEN(TRIM(F641))&gt;0</formula>
    </cfRule>
  </conditionalFormatting>
  <conditionalFormatting sqref="E641">
    <cfRule type="notContainsBlanks" dxfId="555" priority="903">
      <formula>LEN(TRIM(E641))&gt;0</formula>
    </cfRule>
  </conditionalFormatting>
  <conditionalFormatting sqref="O647">
    <cfRule type="containsText" dxfId="554" priority="899" operator="containsText" text="X">
      <formula>NOT(ISERROR(SEARCH("X",O647)))</formula>
    </cfRule>
  </conditionalFormatting>
  <conditionalFormatting sqref="I647">
    <cfRule type="containsText" dxfId="553" priority="902" operator="containsText" text="X">
      <formula>NOT(ISERROR(SEARCH("X",I647)))</formula>
    </cfRule>
  </conditionalFormatting>
  <conditionalFormatting sqref="K647">
    <cfRule type="containsText" dxfId="552" priority="901" operator="containsText" text="X">
      <formula>NOT(ISERROR(SEARCH("X",K647)))</formula>
    </cfRule>
  </conditionalFormatting>
  <conditionalFormatting sqref="M647">
    <cfRule type="containsText" dxfId="551" priority="900" operator="containsText" text="X">
      <formula>NOT(ISERROR(SEARCH("X",M647)))</formula>
    </cfRule>
  </conditionalFormatting>
  <conditionalFormatting sqref="Q647">
    <cfRule type="containsText" dxfId="550" priority="898" operator="containsText" text="X">
      <formula>NOT(ISERROR(SEARCH("X",Q647)))</formula>
    </cfRule>
  </conditionalFormatting>
  <conditionalFormatting sqref="E647:G647">
    <cfRule type="notContainsBlanks" dxfId="549" priority="897">
      <formula>LEN(TRIM(E647))&gt;0</formula>
    </cfRule>
  </conditionalFormatting>
  <conditionalFormatting sqref="O648">
    <cfRule type="containsText" dxfId="548" priority="893" operator="containsText" text="X">
      <formula>NOT(ISERROR(SEARCH("X",O648)))</formula>
    </cfRule>
  </conditionalFormatting>
  <conditionalFormatting sqref="I648">
    <cfRule type="containsText" dxfId="547" priority="896" operator="containsText" text="X">
      <formula>NOT(ISERROR(SEARCH("X",I648)))</formula>
    </cfRule>
  </conditionalFormatting>
  <conditionalFormatting sqref="K648">
    <cfRule type="containsText" dxfId="546" priority="895" operator="containsText" text="X">
      <formula>NOT(ISERROR(SEARCH("X",K648)))</formula>
    </cfRule>
  </conditionalFormatting>
  <conditionalFormatting sqref="M648">
    <cfRule type="containsText" dxfId="545" priority="894" operator="containsText" text="X">
      <formula>NOT(ISERROR(SEARCH("X",M648)))</formula>
    </cfRule>
  </conditionalFormatting>
  <conditionalFormatting sqref="Q648">
    <cfRule type="containsText" dxfId="544" priority="892" operator="containsText" text="X">
      <formula>NOT(ISERROR(SEARCH("X",Q648)))</formula>
    </cfRule>
  </conditionalFormatting>
  <conditionalFormatting sqref="E648:G648">
    <cfRule type="notContainsBlanks" dxfId="543" priority="891">
      <formula>LEN(TRIM(E648))&gt;0</formula>
    </cfRule>
  </conditionalFormatting>
  <conditionalFormatting sqref="O649 I649 K649 M649 Q649">
    <cfRule type="containsText" dxfId="542" priority="890" operator="containsText" text="X">
      <formula>NOT(ISERROR(SEARCH("X",I649)))</formula>
    </cfRule>
  </conditionalFormatting>
  <conditionalFormatting sqref="E649:G649">
    <cfRule type="notContainsBlanks" dxfId="541" priority="889">
      <formula>LEN(TRIM(E649))&gt;0</formula>
    </cfRule>
  </conditionalFormatting>
  <conditionalFormatting sqref="AC642 AA642 AE642 AC638 AA638 AE638 AC634 AA634 AE634">
    <cfRule type="containsText" dxfId="540" priority="888" operator="containsText" text="X">
      <formula>NOT(ISERROR(SEARCH("X",AA634)))</formula>
    </cfRule>
  </conditionalFormatting>
  <conditionalFormatting sqref="AA13:AA38">
    <cfRule type="containsText" dxfId="539" priority="887" operator="containsText" text="X">
      <formula>NOT(ISERROR(SEARCH("X",AA13)))</formula>
    </cfRule>
  </conditionalFormatting>
  <conditionalFormatting sqref="AC38">
    <cfRule type="containsText" dxfId="538" priority="886" operator="containsText" text="X">
      <formula>NOT(ISERROR(SEARCH("X",AC38)))</formula>
    </cfRule>
  </conditionalFormatting>
  <conditionalFormatting sqref="AE38">
    <cfRule type="containsText" dxfId="537" priority="885" operator="containsText" text="X">
      <formula>NOT(ISERROR(SEARCH("X",AE38)))</formula>
    </cfRule>
  </conditionalFormatting>
  <conditionalFormatting sqref="AC51">
    <cfRule type="containsText" dxfId="536" priority="877" operator="containsText" text="X">
      <formula>NOT(ISERROR(SEARCH("X",AC51)))</formula>
    </cfRule>
  </conditionalFormatting>
  <conditionalFormatting sqref="AA51">
    <cfRule type="containsText" dxfId="535" priority="878" operator="containsText" text="X">
      <formula>NOT(ISERROR(SEARCH("X",AA51)))</formula>
    </cfRule>
  </conditionalFormatting>
  <conditionalFormatting sqref="AE51">
    <cfRule type="containsText" dxfId="534" priority="876" operator="containsText" text="X">
      <formula>NOT(ISERROR(SEARCH("X",AE51)))</formula>
    </cfRule>
  </conditionalFormatting>
  <conditionalFormatting sqref="AC79">
    <cfRule type="containsText" dxfId="533" priority="874" operator="containsText" text="X">
      <formula>NOT(ISERROR(SEARCH("X",AC79)))</formula>
    </cfRule>
  </conditionalFormatting>
  <conditionalFormatting sqref="AA79">
    <cfRule type="containsText" dxfId="532" priority="875" operator="containsText" text="X">
      <formula>NOT(ISERROR(SEARCH("X",AA79)))</formula>
    </cfRule>
  </conditionalFormatting>
  <conditionalFormatting sqref="AE79">
    <cfRule type="containsText" dxfId="531" priority="873" operator="containsText" text="X">
      <formula>NOT(ISERROR(SEARCH("X",AE79)))</formula>
    </cfRule>
  </conditionalFormatting>
  <conditionalFormatting sqref="AC125">
    <cfRule type="containsText" dxfId="530" priority="862" operator="containsText" text="X">
      <formula>NOT(ISERROR(SEARCH("X",AC125)))</formula>
    </cfRule>
  </conditionalFormatting>
  <conditionalFormatting sqref="AA125">
    <cfRule type="containsText" dxfId="529" priority="863" operator="containsText" text="X">
      <formula>NOT(ISERROR(SEARCH("X",AA125)))</formula>
    </cfRule>
  </conditionalFormatting>
  <conditionalFormatting sqref="AE125">
    <cfRule type="containsText" dxfId="528" priority="861" operator="containsText" text="X">
      <formula>NOT(ISERROR(SEARCH("X",AE125)))</formula>
    </cfRule>
  </conditionalFormatting>
  <conditionalFormatting sqref="AC128">
    <cfRule type="containsText" dxfId="527" priority="859" operator="containsText" text="X">
      <formula>NOT(ISERROR(SEARCH("X",AC128)))</formula>
    </cfRule>
  </conditionalFormatting>
  <conditionalFormatting sqref="AA128">
    <cfRule type="containsText" dxfId="526" priority="860" operator="containsText" text="X">
      <formula>NOT(ISERROR(SEARCH("X",AA128)))</formula>
    </cfRule>
  </conditionalFormatting>
  <conditionalFormatting sqref="AE128">
    <cfRule type="containsText" dxfId="525" priority="858" operator="containsText" text="X">
      <formula>NOT(ISERROR(SEARCH("X",AE128)))</formula>
    </cfRule>
  </conditionalFormatting>
  <conditionalFormatting sqref="AC187">
    <cfRule type="containsText" dxfId="524" priority="856" operator="containsText" text="X">
      <formula>NOT(ISERROR(SEARCH("X",AC187)))</formula>
    </cfRule>
  </conditionalFormatting>
  <conditionalFormatting sqref="AA187">
    <cfRule type="containsText" dxfId="523" priority="857" operator="containsText" text="X">
      <formula>NOT(ISERROR(SEARCH("X",AA187)))</formula>
    </cfRule>
  </conditionalFormatting>
  <conditionalFormatting sqref="AE187">
    <cfRule type="containsText" dxfId="522" priority="855" operator="containsText" text="X">
      <formula>NOT(ISERROR(SEARCH("X",AE187)))</formula>
    </cfRule>
  </conditionalFormatting>
  <conditionalFormatting sqref="AC223">
    <cfRule type="containsText" dxfId="521" priority="853" operator="containsText" text="X">
      <formula>NOT(ISERROR(SEARCH("X",AC223)))</formula>
    </cfRule>
  </conditionalFormatting>
  <conditionalFormatting sqref="AA223">
    <cfRule type="containsText" dxfId="520" priority="854" operator="containsText" text="X">
      <formula>NOT(ISERROR(SEARCH("X",AA223)))</formula>
    </cfRule>
  </conditionalFormatting>
  <conditionalFormatting sqref="AE223">
    <cfRule type="containsText" dxfId="519" priority="852" operator="containsText" text="X">
      <formula>NOT(ISERROR(SEARCH("X",AE223)))</formula>
    </cfRule>
  </conditionalFormatting>
  <conditionalFormatting sqref="AC255">
    <cfRule type="containsText" dxfId="518" priority="850" operator="containsText" text="X">
      <formula>NOT(ISERROR(SEARCH("X",AC255)))</formula>
    </cfRule>
  </conditionalFormatting>
  <conditionalFormatting sqref="AA255">
    <cfRule type="containsText" dxfId="517" priority="851" operator="containsText" text="X">
      <formula>NOT(ISERROR(SEARCH("X",AA255)))</formula>
    </cfRule>
  </conditionalFormatting>
  <conditionalFormatting sqref="AE255">
    <cfRule type="containsText" dxfId="516" priority="849" operator="containsText" text="X">
      <formula>NOT(ISERROR(SEARCH("X",AE255)))</formula>
    </cfRule>
  </conditionalFormatting>
  <conditionalFormatting sqref="AC284">
    <cfRule type="containsText" dxfId="515" priority="847" operator="containsText" text="X">
      <formula>NOT(ISERROR(SEARCH("X",AC284)))</formula>
    </cfRule>
  </conditionalFormatting>
  <conditionalFormatting sqref="AA284">
    <cfRule type="containsText" dxfId="514" priority="848" operator="containsText" text="X">
      <formula>NOT(ISERROR(SEARCH("X",AA284)))</formula>
    </cfRule>
  </conditionalFormatting>
  <conditionalFormatting sqref="AE284">
    <cfRule type="containsText" dxfId="513" priority="846" operator="containsText" text="X">
      <formula>NOT(ISERROR(SEARCH("X",AE284)))</formula>
    </cfRule>
  </conditionalFormatting>
  <conditionalFormatting sqref="AC321">
    <cfRule type="containsText" dxfId="512" priority="844" operator="containsText" text="X">
      <formula>NOT(ISERROR(SEARCH("X",AC321)))</formula>
    </cfRule>
  </conditionalFormatting>
  <conditionalFormatting sqref="AA321">
    <cfRule type="containsText" dxfId="511" priority="845" operator="containsText" text="X">
      <formula>NOT(ISERROR(SEARCH("X",AA321)))</formula>
    </cfRule>
  </conditionalFormatting>
  <conditionalFormatting sqref="AE321">
    <cfRule type="containsText" dxfId="510" priority="843" operator="containsText" text="X">
      <formula>NOT(ISERROR(SEARCH("X",AE321)))</formula>
    </cfRule>
  </conditionalFormatting>
  <conditionalFormatting sqref="AC342">
    <cfRule type="containsText" dxfId="509" priority="841" operator="containsText" text="X">
      <formula>NOT(ISERROR(SEARCH("X",AC342)))</formula>
    </cfRule>
  </conditionalFormatting>
  <conditionalFormatting sqref="AA342">
    <cfRule type="containsText" dxfId="508" priority="842" operator="containsText" text="X">
      <formula>NOT(ISERROR(SEARCH("X",AA342)))</formula>
    </cfRule>
  </conditionalFormatting>
  <conditionalFormatting sqref="AE342">
    <cfRule type="containsText" dxfId="507" priority="840" operator="containsText" text="X">
      <formula>NOT(ISERROR(SEARCH("X",AE342)))</formula>
    </cfRule>
  </conditionalFormatting>
  <conditionalFormatting sqref="AC352">
    <cfRule type="containsText" dxfId="506" priority="838" operator="containsText" text="X">
      <formula>NOT(ISERROR(SEARCH("X",AC352)))</formula>
    </cfRule>
  </conditionalFormatting>
  <conditionalFormatting sqref="AA352">
    <cfRule type="containsText" dxfId="505" priority="839" operator="containsText" text="X">
      <formula>NOT(ISERROR(SEARCH("X",AA352)))</formula>
    </cfRule>
  </conditionalFormatting>
  <conditionalFormatting sqref="AE352">
    <cfRule type="containsText" dxfId="504" priority="837" operator="containsText" text="X">
      <formula>NOT(ISERROR(SEARCH("X",AE352)))</formula>
    </cfRule>
  </conditionalFormatting>
  <conditionalFormatting sqref="AC358">
    <cfRule type="containsText" dxfId="503" priority="835" operator="containsText" text="X">
      <formula>NOT(ISERROR(SEARCH("X",AC358)))</formula>
    </cfRule>
  </conditionalFormatting>
  <conditionalFormatting sqref="AA358">
    <cfRule type="containsText" dxfId="502" priority="836" operator="containsText" text="X">
      <formula>NOT(ISERROR(SEARCH("X",AA358)))</formula>
    </cfRule>
  </conditionalFormatting>
  <conditionalFormatting sqref="AE358">
    <cfRule type="containsText" dxfId="501" priority="834" operator="containsText" text="X">
      <formula>NOT(ISERROR(SEARCH("X",AE358)))</formula>
    </cfRule>
  </conditionalFormatting>
  <conditionalFormatting sqref="AC375">
    <cfRule type="containsText" dxfId="500" priority="832" operator="containsText" text="X">
      <formula>NOT(ISERROR(SEARCH("X",AC375)))</formula>
    </cfRule>
  </conditionalFormatting>
  <conditionalFormatting sqref="AA375">
    <cfRule type="containsText" dxfId="499" priority="833" operator="containsText" text="X">
      <formula>NOT(ISERROR(SEARCH("X",AA375)))</formula>
    </cfRule>
  </conditionalFormatting>
  <conditionalFormatting sqref="AE375">
    <cfRule type="containsText" dxfId="498" priority="831" operator="containsText" text="X">
      <formula>NOT(ISERROR(SEARCH("X",AE375)))</formula>
    </cfRule>
  </conditionalFormatting>
  <conditionalFormatting sqref="AC379">
    <cfRule type="containsText" dxfId="497" priority="829" operator="containsText" text="X">
      <formula>NOT(ISERROR(SEARCH("X",AC379)))</formula>
    </cfRule>
  </conditionalFormatting>
  <conditionalFormatting sqref="AA379">
    <cfRule type="containsText" dxfId="496" priority="830" operator="containsText" text="X">
      <formula>NOT(ISERROR(SEARCH("X",AA379)))</formula>
    </cfRule>
  </conditionalFormatting>
  <conditionalFormatting sqref="AE379">
    <cfRule type="containsText" dxfId="495" priority="828" operator="containsText" text="X">
      <formula>NOT(ISERROR(SEARCH("X",AE379)))</formula>
    </cfRule>
  </conditionalFormatting>
  <conditionalFormatting sqref="AC396">
    <cfRule type="containsText" dxfId="494" priority="826" operator="containsText" text="X">
      <formula>NOT(ISERROR(SEARCH("X",AC396)))</formula>
    </cfRule>
  </conditionalFormatting>
  <conditionalFormatting sqref="AA396">
    <cfRule type="containsText" dxfId="493" priority="827" operator="containsText" text="X">
      <formula>NOT(ISERROR(SEARCH("X",AA396)))</formula>
    </cfRule>
  </conditionalFormatting>
  <conditionalFormatting sqref="AE396">
    <cfRule type="containsText" dxfId="492" priority="825" operator="containsText" text="X">
      <formula>NOT(ISERROR(SEARCH("X",AE396)))</formula>
    </cfRule>
  </conditionalFormatting>
  <conditionalFormatting sqref="AC425">
    <cfRule type="containsText" dxfId="491" priority="823" operator="containsText" text="X">
      <formula>NOT(ISERROR(SEARCH("X",AC425)))</formula>
    </cfRule>
  </conditionalFormatting>
  <conditionalFormatting sqref="AA425">
    <cfRule type="containsText" dxfId="490" priority="824" operator="containsText" text="X">
      <formula>NOT(ISERROR(SEARCH("X",AA425)))</formula>
    </cfRule>
  </conditionalFormatting>
  <conditionalFormatting sqref="AE425">
    <cfRule type="containsText" dxfId="489" priority="822" operator="containsText" text="X">
      <formula>NOT(ISERROR(SEARCH("X",AE425)))</formula>
    </cfRule>
  </conditionalFormatting>
  <conditionalFormatting sqref="AC454">
    <cfRule type="containsText" dxfId="488" priority="820" operator="containsText" text="X">
      <formula>NOT(ISERROR(SEARCH("X",AC454)))</formula>
    </cfRule>
  </conditionalFormatting>
  <conditionalFormatting sqref="AA454">
    <cfRule type="containsText" dxfId="487" priority="821" operator="containsText" text="X">
      <formula>NOT(ISERROR(SEARCH("X",AA454)))</formula>
    </cfRule>
  </conditionalFormatting>
  <conditionalFormatting sqref="AE454">
    <cfRule type="containsText" dxfId="486" priority="819" operator="containsText" text="X">
      <formula>NOT(ISERROR(SEARCH("X",AE454)))</formula>
    </cfRule>
  </conditionalFormatting>
  <conditionalFormatting sqref="AC478">
    <cfRule type="containsText" dxfId="485" priority="817" operator="containsText" text="X">
      <formula>NOT(ISERROR(SEARCH("X",AC478)))</formula>
    </cfRule>
  </conditionalFormatting>
  <conditionalFormatting sqref="AA478">
    <cfRule type="containsText" dxfId="484" priority="818" operator="containsText" text="X">
      <formula>NOT(ISERROR(SEARCH("X",AA478)))</formula>
    </cfRule>
  </conditionalFormatting>
  <conditionalFormatting sqref="AE478">
    <cfRule type="containsText" dxfId="483" priority="816" operator="containsText" text="X">
      <formula>NOT(ISERROR(SEARCH("X",AE478)))</formula>
    </cfRule>
  </conditionalFormatting>
  <conditionalFormatting sqref="AC502">
    <cfRule type="containsText" dxfId="482" priority="814" operator="containsText" text="X">
      <formula>NOT(ISERROR(SEARCH("X",AC502)))</formula>
    </cfRule>
  </conditionalFormatting>
  <conditionalFormatting sqref="AA502">
    <cfRule type="containsText" dxfId="481" priority="815" operator="containsText" text="X">
      <formula>NOT(ISERROR(SEARCH("X",AA502)))</formula>
    </cfRule>
  </conditionalFormatting>
  <conditionalFormatting sqref="AE502">
    <cfRule type="containsText" dxfId="480" priority="813" operator="containsText" text="X">
      <formula>NOT(ISERROR(SEARCH("X",AE502)))</formula>
    </cfRule>
  </conditionalFormatting>
  <conditionalFormatting sqref="AC524">
    <cfRule type="containsText" dxfId="479" priority="811" operator="containsText" text="X">
      <formula>NOT(ISERROR(SEARCH("X",AC524)))</formula>
    </cfRule>
  </conditionalFormatting>
  <conditionalFormatting sqref="AA524">
    <cfRule type="containsText" dxfId="478" priority="812" operator="containsText" text="X">
      <formula>NOT(ISERROR(SEARCH("X",AA524)))</formula>
    </cfRule>
  </conditionalFormatting>
  <conditionalFormatting sqref="AE524">
    <cfRule type="containsText" dxfId="477" priority="810" operator="containsText" text="X">
      <formula>NOT(ISERROR(SEARCH("X",AE524)))</formula>
    </cfRule>
  </conditionalFormatting>
  <conditionalFormatting sqref="AC635">
    <cfRule type="containsText" dxfId="476" priority="808" operator="containsText" text="X">
      <formula>NOT(ISERROR(SEARCH("X",AC635)))</formula>
    </cfRule>
  </conditionalFormatting>
  <conditionalFormatting sqref="AA635">
    <cfRule type="containsText" dxfId="475" priority="809" operator="containsText" text="X">
      <formula>NOT(ISERROR(SEARCH("X",AA635)))</formula>
    </cfRule>
  </conditionalFormatting>
  <conditionalFormatting sqref="AE635">
    <cfRule type="containsText" dxfId="474" priority="807" operator="containsText" text="X">
      <formula>NOT(ISERROR(SEARCH("X",AE635)))</formula>
    </cfRule>
  </conditionalFormatting>
  <conditionalFormatting sqref="AC639">
    <cfRule type="containsText" dxfId="473" priority="805" operator="containsText" text="X">
      <formula>NOT(ISERROR(SEARCH("X",AC639)))</formula>
    </cfRule>
  </conditionalFormatting>
  <conditionalFormatting sqref="AA639">
    <cfRule type="containsText" dxfId="472" priority="806" operator="containsText" text="X">
      <formula>NOT(ISERROR(SEARCH("X",AA639)))</formula>
    </cfRule>
  </conditionalFormatting>
  <conditionalFormatting sqref="AE639">
    <cfRule type="containsText" dxfId="471" priority="804" operator="containsText" text="X">
      <formula>NOT(ISERROR(SEARCH("X",AE639)))</formula>
    </cfRule>
  </conditionalFormatting>
  <conditionalFormatting sqref="AC650">
    <cfRule type="containsText" dxfId="470" priority="802" operator="containsText" text="X">
      <formula>NOT(ISERROR(SEARCH("X",AC650)))</formula>
    </cfRule>
  </conditionalFormatting>
  <conditionalFormatting sqref="AA650">
    <cfRule type="containsText" dxfId="469" priority="803" operator="containsText" text="X">
      <formula>NOT(ISERROR(SEARCH("X",AA650)))</formula>
    </cfRule>
  </conditionalFormatting>
  <conditionalFormatting sqref="AE650">
    <cfRule type="containsText" dxfId="468" priority="801" operator="containsText" text="X">
      <formula>NOT(ISERROR(SEARCH("X",AE650)))</formula>
    </cfRule>
  </conditionalFormatting>
  <conditionalFormatting sqref="AC357">
    <cfRule type="containsText" dxfId="467" priority="760" operator="containsText" text="X">
      <formula>NOT(ISERROR(SEARCH("X",AC357)))</formula>
    </cfRule>
  </conditionalFormatting>
  <conditionalFormatting sqref="AA357">
    <cfRule type="containsText" dxfId="466" priority="761" operator="containsText" text="X">
      <formula>NOT(ISERROR(SEARCH("X",AA357)))</formula>
    </cfRule>
  </conditionalFormatting>
  <conditionalFormatting sqref="AE357">
    <cfRule type="containsText" dxfId="465" priority="759" operator="containsText" text="X">
      <formula>NOT(ISERROR(SEARCH("X",AE357)))</formula>
    </cfRule>
  </conditionalFormatting>
  <conditionalFormatting sqref="AE13:AE37">
    <cfRule type="containsText" dxfId="464" priority="694" operator="containsText" text="X">
      <formula>NOT(ISERROR(SEARCH("X",AE13)))</formula>
    </cfRule>
  </conditionalFormatting>
  <conditionalFormatting sqref="AC13:AC37">
    <cfRule type="containsText" dxfId="463" priority="695" operator="containsText" text="X">
      <formula>NOT(ISERROR(SEARCH("X",AC13)))</formula>
    </cfRule>
  </conditionalFormatting>
  <conditionalFormatting sqref="AC553">
    <cfRule type="containsText" dxfId="462" priority="730" operator="containsText" text="X">
      <formula>NOT(ISERROR(SEARCH("X",AC553)))</formula>
    </cfRule>
  </conditionalFormatting>
  <conditionalFormatting sqref="AA553">
    <cfRule type="containsText" dxfId="461" priority="731" operator="containsText" text="X">
      <formula>NOT(ISERROR(SEARCH("X",AA553)))</formula>
    </cfRule>
  </conditionalFormatting>
  <conditionalFormatting sqref="AE553">
    <cfRule type="containsText" dxfId="460" priority="729" operator="containsText" text="X">
      <formula>NOT(ISERROR(SEARCH("X",AE553)))</formula>
    </cfRule>
  </conditionalFormatting>
  <conditionalFormatting sqref="AC582">
    <cfRule type="containsText" dxfId="459" priority="727" operator="containsText" text="X">
      <formula>NOT(ISERROR(SEARCH("X",AC582)))</formula>
    </cfRule>
  </conditionalFormatting>
  <conditionalFormatting sqref="AA582">
    <cfRule type="containsText" dxfId="458" priority="728" operator="containsText" text="X">
      <formula>NOT(ISERROR(SEARCH("X",AA582)))</formula>
    </cfRule>
  </conditionalFormatting>
  <conditionalFormatting sqref="AE582">
    <cfRule type="containsText" dxfId="457" priority="726" operator="containsText" text="X">
      <formula>NOT(ISERROR(SEARCH("X",AE582)))</formula>
    </cfRule>
  </conditionalFormatting>
  <conditionalFormatting sqref="AC606">
    <cfRule type="containsText" dxfId="456" priority="724" operator="containsText" text="X">
      <formula>NOT(ISERROR(SEARCH("X",AC606)))</formula>
    </cfRule>
  </conditionalFormatting>
  <conditionalFormatting sqref="AA606">
    <cfRule type="containsText" dxfId="455" priority="725" operator="containsText" text="X">
      <formula>NOT(ISERROR(SEARCH("X",AA606)))</formula>
    </cfRule>
  </conditionalFormatting>
  <conditionalFormatting sqref="AE606">
    <cfRule type="containsText" dxfId="454" priority="723" operator="containsText" text="X">
      <formula>NOT(ISERROR(SEARCH("X",AE606)))</formula>
    </cfRule>
  </conditionalFormatting>
  <conditionalFormatting sqref="AC630">
    <cfRule type="containsText" dxfId="453" priority="709" operator="containsText" text="X">
      <formula>NOT(ISERROR(SEARCH("X",AC630)))</formula>
    </cfRule>
  </conditionalFormatting>
  <conditionalFormatting sqref="AA630">
    <cfRule type="containsText" dxfId="452" priority="710" operator="containsText" text="X">
      <formula>NOT(ISERROR(SEARCH("X",AA630)))</formula>
    </cfRule>
  </conditionalFormatting>
  <conditionalFormatting sqref="AE630">
    <cfRule type="containsText" dxfId="451" priority="708" operator="containsText" text="X">
      <formula>NOT(ISERROR(SEARCH("X",AE630)))</formula>
    </cfRule>
  </conditionalFormatting>
  <conditionalFormatting sqref="AC643">
    <cfRule type="containsText" dxfId="450" priority="706" operator="containsText" text="X">
      <formula>NOT(ISERROR(SEARCH("X",AC643)))</formula>
    </cfRule>
  </conditionalFormatting>
  <conditionalFormatting sqref="AA643">
    <cfRule type="containsText" dxfId="449" priority="707" operator="containsText" text="X">
      <formula>NOT(ISERROR(SEARCH("X",AA643)))</formula>
    </cfRule>
  </conditionalFormatting>
  <conditionalFormatting sqref="AE643">
    <cfRule type="containsText" dxfId="448" priority="705" operator="containsText" text="X">
      <formula>NOT(ISERROR(SEARCH("X",AE643)))</formula>
    </cfRule>
  </conditionalFormatting>
  <conditionalFormatting sqref="AC649 AA649 AE649">
    <cfRule type="containsText" dxfId="447" priority="698" operator="containsText" text="X">
      <formula>NOT(ISERROR(SEARCH("X",AA649)))</formula>
    </cfRule>
  </conditionalFormatting>
  <conditionalFormatting sqref="Z13:Z37">
    <cfRule type="containsText" dxfId="446" priority="696" operator="containsText" text="TEXTURA">
      <formula>NOT(ISERROR(SEARCH("TEXTURA",Z13)))</formula>
    </cfRule>
    <cfRule type="containsText" dxfId="445" priority="697" operator="containsText" text="EPÓXI">
      <formula>NOT(ISERROR(SEARCH("EPÓXI",Z13)))</formula>
    </cfRule>
  </conditionalFormatting>
  <conditionalFormatting sqref="AC357">
    <cfRule type="containsText" dxfId="444" priority="633" operator="containsText" text="X">
      <formula>NOT(ISERROR(SEARCH("X",AC357)))</formula>
    </cfRule>
  </conditionalFormatting>
  <conditionalFormatting sqref="AE357">
    <cfRule type="containsText" dxfId="443" priority="632" operator="containsText" text="X">
      <formula>NOT(ISERROR(SEARCH("X",AE357)))</formula>
    </cfRule>
  </conditionalFormatting>
  <conditionalFormatting sqref="AC630:AC631">
    <cfRule type="containsText" dxfId="442" priority="573" operator="containsText" text="X">
      <formula>NOT(ISERROR(SEARCH("X",AC630)))</formula>
    </cfRule>
  </conditionalFormatting>
  <conditionalFormatting sqref="AE630:AE631">
    <cfRule type="containsText" dxfId="441" priority="572" operator="containsText" text="X">
      <formula>NOT(ISERROR(SEARCH("X",AE630)))</formula>
    </cfRule>
  </conditionalFormatting>
  <conditionalFormatting sqref="V642 T642 X642 V638 T638 X638 V634 T634 X634">
    <cfRule type="containsText" dxfId="440" priority="549" operator="containsText" text="X">
      <formula>NOT(ISERROR(SEARCH("X",T634)))</formula>
    </cfRule>
  </conditionalFormatting>
  <conditionalFormatting sqref="T13:T38">
    <cfRule type="containsText" dxfId="439" priority="548" operator="containsText" text="X">
      <formula>NOT(ISERROR(SEARCH("X",T13)))</formula>
    </cfRule>
  </conditionalFormatting>
  <conditionalFormatting sqref="V38">
    <cfRule type="containsText" dxfId="438" priority="547" operator="containsText" text="X">
      <formula>NOT(ISERROR(SEARCH("X",V38)))</formula>
    </cfRule>
  </conditionalFormatting>
  <conditionalFormatting sqref="X38">
    <cfRule type="containsText" dxfId="437" priority="546" operator="containsText" text="X">
      <formula>NOT(ISERROR(SEARCH("X",X38)))</formula>
    </cfRule>
  </conditionalFormatting>
  <conditionalFormatting sqref="V51">
    <cfRule type="containsText" dxfId="436" priority="544" operator="containsText" text="X">
      <formula>NOT(ISERROR(SEARCH("X",V51)))</formula>
    </cfRule>
  </conditionalFormatting>
  <conditionalFormatting sqref="T51">
    <cfRule type="containsText" dxfId="435" priority="545" operator="containsText" text="X">
      <formula>NOT(ISERROR(SEARCH("X",T51)))</formula>
    </cfRule>
  </conditionalFormatting>
  <conditionalFormatting sqref="X51">
    <cfRule type="containsText" dxfId="434" priority="543" operator="containsText" text="X">
      <formula>NOT(ISERROR(SEARCH("X",X51)))</formula>
    </cfRule>
  </conditionalFormatting>
  <conditionalFormatting sqref="V79">
    <cfRule type="containsText" dxfId="433" priority="541" operator="containsText" text="X">
      <formula>NOT(ISERROR(SEARCH("X",V79)))</formula>
    </cfRule>
  </conditionalFormatting>
  <conditionalFormatting sqref="T79">
    <cfRule type="containsText" dxfId="432" priority="542" operator="containsText" text="X">
      <formula>NOT(ISERROR(SEARCH("X",T79)))</formula>
    </cfRule>
  </conditionalFormatting>
  <conditionalFormatting sqref="X79">
    <cfRule type="containsText" dxfId="431" priority="540" operator="containsText" text="X">
      <formula>NOT(ISERROR(SEARCH("X",X79)))</formula>
    </cfRule>
  </conditionalFormatting>
  <conditionalFormatting sqref="V125">
    <cfRule type="containsText" dxfId="430" priority="538" operator="containsText" text="X">
      <formula>NOT(ISERROR(SEARCH("X",V125)))</formula>
    </cfRule>
  </conditionalFormatting>
  <conditionalFormatting sqref="T125">
    <cfRule type="containsText" dxfId="429" priority="539" operator="containsText" text="X">
      <formula>NOT(ISERROR(SEARCH("X",T125)))</formula>
    </cfRule>
  </conditionalFormatting>
  <conditionalFormatting sqref="X125">
    <cfRule type="containsText" dxfId="428" priority="537" operator="containsText" text="X">
      <formula>NOT(ISERROR(SEARCH("X",X125)))</formula>
    </cfRule>
  </conditionalFormatting>
  <conditionalFormatting sqref="V128">
    <cfRule type="containsText" dxfId="427" priority="535" operator="containsText" text="X">
      <formula>NOT(ISERROR(SEARCH("X",V128)))</formula>
    </cfRule>
  </conditionalFormatting>
  <conditionalFormatting sqref="T128">
    <cfRule type="containsText" dxfId="426" priority="536" operator="containsText" text="X">
      <formula>NOT(ISERROR(SEARCH("X",T128)))</formula>
    </cfRule>
  </conditionalFormatting>
  <conditionalFormatting sqref="X128">
    <cfRule type="containsText" dxfId="425" priority="534" operator="containsText" text="X">
      <formula>NOT(ISERROR(SEARCH("X",X128)))</formula>
    </cfRule>
  </conditionalFormatting>
  <conditionalFormatting sqref="V187">
    <cfRule type="containsText" dxfId="424" priority="532" operator="containsText" text="X">
      <formula>NOT(ISERROR(SEARCH("X",V187)))</formula>
    </cfRule>
  </conditionalFormatting>
  <conditionalFormatting sqref="T187">
    <cfRule type="containsText" dxfId="423" priority="533" operator="containsText" text="X">
      <formula>NOT(ISERROR(SEARCH("X",T187)))</formula>
    </cfRule>
  </conditionalFormatting>
  <conditionalFormatting sqref="X187">
    <cfRule type="containsText" dxfId="422" priority="531" operator="containsText" text="X">
      <formula>NOT(ISERROR(SEARCH("X",X187)))</formula>
    </cfRule>
  </conditionalFormatting>
  <conditionalFormatting sqref="V223">
    <cfRule type="containsText" dxfId="421" priority="529" operator="containsText" text="X">
      <formula>NOT(ISERROR(SEARCH("X",V223)))</formula>
    </cfRule>
  </conditionalFormatting>
  <conditionalFormatting sqref="T223">
    <cfRule type="containsText" dxfId="420" priority="530" operator="containsText" text="X">
      <formula>NOT(ISERROR(SEARCH("X",T223)))</formula>
    </cfRule>
  </conditionalFormatting>
  <conditionalFormatting sqref="X223">
    <cfRule type="containsText" dxfId="419" priority="528" operator="containsText" text="X">
      <formula>NOT(ISERROR(SEARCH("X",X223)))</formula>
    </cfRule>
  </conditionalFormatting>
  <conditionalFormatting sqref="V255">
    <cfRule type="containsText" dxfId="418" priority="526" operator="containsText" text="X">
      <formula>NOT(ISERROR(SEARCH("X",V255)))</formula>
    </cfRule>
  </conditionalFormatting>
  <conditionalFormatting sqref="T255">
    <cfRule type="containsText" dxfId="417" priority="527" operator="containsText" text="X">
      <formula>NOT(ISERROR(SEARCH("X",T255)))</formula>
    </cfRule>
  </conditionalFormatting>
  <conditionalFormatting sqref="X255">
    <cfRule type="containsText" dxfId="416" priority="525" operator="containsText" text="X">
      <formula>NOT(ISERROR(SEARCH("X",X255)))</formula>
    </cfRule>
  </conditionalFormatting>
  <conditionalFormatting sqref="V284">
    <cfRule type="containsText" dxfId="415" priority="523" operator="containsText" text="X">
      <formula>NOT(ISERROR(SEARCH("X",V284)))</formula>
    </cfRule>
  </conditionalFormatting>
  <conditionalFormatting sqref="T284">
    <cfRule type="containsText" dxfId="414" priority="524" operator="containsText" text="X">
      <formula>NOT(ISERROR(SEARCH("X",T284)))</formula>
    </cfRule>
  </conditionalFormatting>
  <conditionalFormatting sqref="X284">
    <cfRule type="containsText" dxfId="413" priority="522" operator="containsText" text="X">
      <formula>NOT(ISERROR(SEARCH("X",X284)))</formula>
    </cfRule>
  </conditionalFormatting>
  <conditionalFormatting sqref="V321">
    <cfRule type="containsText" dxfId="412" priority="520" operator="containsText" text="X">
      <formula>NOT(ISERROR(SEARCH("X",V321)))</formula>
    </cfRule>
  </conditionalFormatting>
  <conditionalFormatting sqref="T321">
    <cfRule type="containsText" dxfId="411" priority="521" operator="containsText" text="X">
      <formula>NOT(ISERROR(SEARCH("X",T321)))</formula>
    </cfRule>
  </conditionalFormatting>
  <conditionalFormatting sqref="X321">
    <cfRule type="containsText" dxfId="410" priority="519" operator="containsText" text="X">
      <formula>NOT(ISERROR(SEARCH("X",X321)))</formula>
    </cfRule>
  </conditionalFormatting>
  <conditionalFormatting sqref="V342">
    <cfRule type="containsText" dxfId="409" priority="517" operator="containsText" text="X">
      <formula>NOT(ISERROR(SEARCH("X",V342)))</formula>
    </cfRule>
  </conditionalFormatting>
  <conditionalFormatting sqref="T342">
    <cfRule type="containsText" dxfId="408" priority="518" operator="containsText" text="X">
      <formula>NOT(ISERROR(SEARCH("X",T342)))</formula>
    </cfRule>
  </conditionalFormatting>
  <conditionalFormatting sqref="X342">
    <cfRule type="containsText" dxfId="407" priority="516" operator="containsText" text="X">
      <formula>NOT(ISERROR(SEARCH("X",X342)))</formula>
    </cfRule>
  </conditionalFormatting>
  <conditionalFormatting sqref="V352">
    <cfRule type="containsText" dxfId="406" priority="514" operator="containsText" text="X">
      <formula>NOT(ISERROR(SEARCH("X",V352)))</formula>
    </cfRule>
  </conditionalFormatting>
  <conditionalFormatting sqref="T352">
    <cfRule type="containsText" dxfId="405" priority="515" operator="containsText" text="X">
      <formula>NOT(ISERROR(SEARCH("X",T352)))</formula>
    </cfRule>
  </conditionalFormatting>
  <conditionalFormatting sqref="X352">
    <cfRule type="containsText" dxfId="404" priority="513" operator="containsText" text="X">
      <formula>NOT(ISERROR(SEARCH("X",X352)))</formula>
    </cfRule>
  </conditionalFormatting>
  <conditionalFormatting sqref="V358">
    <cfRule type="containsText" dxfId="403" priority="511" operator="containsText" text="X">
      <formula>NOT(ISERROR(SEARCH("X",V358)))</formula>
    </cfRule>
  </conditionalFormatting>
  <conditionalFormatting sqref="T358">
    <cfRule type="containsText" dxfId="402" priority="512" operator="containsText" text="X">
      <formula>NOT(ISERROR(SEARCH("X",T358)))</formula>
    </cfRule>
  </conditionalFormatting>
  <conditionalFormatting sqref="X358">
    <cfRule type="containsText" dxfId="401" priority="510" operator="containsText" text="X">
      <formula>NOT(ISERROR(SEARCH("X",X358)))</formula>
    </cfRule>
  </conditionalFormatting>
  <conditionalFormatting sqref="V375">
    <cfRule type="containsText" dxfId="400" priority="508" operator="containsText" text="X">
      <formula>NOT(ISERROR(SEARCH("X",V375)))</formula>
    </cfRule>
  </conditionalFormatting>
  <conditionalFormatting sqref="T375">
    <cfRule type="containsText" dxfId="399" priority="509" operator="containsText" text="X">
      <formula>NOT(ISERROR(SEARCH("X",T375)))</formula>
    </cfRule>
  </conditionalFormatting>
  <conditionalFormatting sqref="X375">
    <cfRule type="containsText" dxfId="398" priority="507" operator="containsText" text="X">
      <formula>NOT(ISERROR(SEARCH("X",X375)))</formula>
    </cfRule>
  </conditionalFormatting>
  <conditionalFormatting sqref="V379">
    <cfRule type="containsText" dxfId="397" priority="505" operator="containsText" text="X">
      <formula>NOT(ISERROR(SEARCH("X",V379)))</formula>
    </cfRule>
  </conditionalFormatting>
  <conditionalFormatting sqref="T379">
    <cfRule type="containsText" dxfId="396" priority="506" operator="containsText" text="X">
      <formula>NOT(ISERROR(SEARCH("X",T379)))</formula>
    </cfRule>
  </conditionalFormatting>
  <conditionalFormatting sqref="X379">
    <cfRule type="containsText" dxfId="395" priority="504" operator="containsText" text="X">
      <formula>NOT(ISERROR(SEARCH("X",X379)))</formula>
    </cfRule>
  </conditionalFormatting>
  <conditionalFormatting sqref="V396">
    <cfRule type="containsText" dxfId="394" priority="502" operator="containsText" text="X">
      <formula>NOT(ISERROR(SEARCH("X",V396)))</formula>
    </cfRule>
  </conditionalFormatting>
  <conditionalFormatting sqref="T396">
    <cfRule type="containsText" dxfId="393" priority="503" operator="containsText" text="X">
      <formula>NOT(ISERROR(SEARCH("X",T396)))</formula>
    </cfRule>
  </conditionalFormatting>
  <conditionalFormatting sqref="X396">
    <cfRule type="containsText" dxfId="392" priority="501" operator="containsText" text="X">
      <formula>NOT(ISERROR(SEARCH("X",X396)))</formula>
    </cfRule>
  </conditionalFormatting>
  <conditionalFormatting sqref="V425">
    <cfRule type="containsText" dxfId="391" priority="499" operator="containsText" text="X">
      <formula>NOT(ISERROR(SEARCH("X",V425)))</formula>
    </cfRule>
  </conditionalFormatting>
  <conditionalFormatting sqref="T425">
    <cfRule type="containsText" dxfId="390" priority="500" operator="containsText" text="X">
      <formula>NOT(ISERROR(SEARCH("X",T425)))</formula>
    </cfRule>
  </conditionalFormatting>
  <conditionalFormatting sqref="X425">
    <cfRule type="containsText" dxfId="389" priority="498" operator="containsText" text="X">
      <formula>NOT(ISERROR(SEARCH("X",X425)))</formula>
    </cfRule>
  </conditionalFormatting>
  <conditionalFormatting sqref="V454">
    <cfRule type="containsText" dxfId="388" priority="496" operator="containsText" text="X">
      <formula>NOT(ISERROR(SEARCH("X",V454)))</formula>
    </cfRule>
  </conditionalFormatting>
  <conditionalFormatting sqref="T454">
    <cfRule type="containsText" dxfId="387" priority="497" operator="containsText" text="X">
      <formula>NOT(ISERROR(SEARCH("X",T454)))</formula>
    </cfRule>
  </conditionalFormatting>
  <conditionalFormatting sqref="X454">
    <cfRule type="containsText" dxfId="386" priority="495" operator="containsText" text="X">
      <formula>NOT(ISERROR(SEARCH("X",X454)))</formula>
    </cfRule>
  </conditionalFormatting>
  <conditionalFormatting sqref="V478">
    <cfRule type="containsText" dxfId="385" priority="493" operator="containsText" text="X">
      <formula>NOT(ISERROR(SEARCH("X",V478)))</formula>
    </cfRule>
  </conditionalFormatting>
  <conditionalFormatting sqref="T478">
    <cfRule type="containsText" dxfId="384" priority="494" operator="containsText" text="X">
      <formula>NOT(ISERROR(SEARCH("X",T478)))</formula>
    </cfRule>
  </conditionalFormatting>
  <conditionalFormatting sqref="X478">
    <cfRule type="containsText" dxfId="383" priority="492" operator="containsText" text="X">
      <formula>NOT(ISERROR(SEARCH("X",X478)))</formula>
    </cfRule>
  </conditionalFormatting>
  <conditionalFormatting sqref="V502">
    <cfRule type="containsText" dxfId="382" priority="490" operator="containsText" text="X">
      <formula>NOT(ISERROR(SEARCH("X",V502)))</formula>
    </cfRule>
  </conditionalFormatting>
  <conditionalFormatting sqref="T502">
    <cfRule type="containsText" dxfId="381" priority="491" operator="containsText" text="X">
      <formula>NOT(ISERROR(SEARCH("X",T502)))</formula>
    </cfRule>
  </conditionalFormatting>
  <conditionalFormatting sqref="X502">
    <cfRule type="containsText" dxfId="380" priority="489" operator="containsText" text="X">
      <formula>NOT(ISERROR(SEARCH("X",X502)))</formula>
    </cfRule>
  </conditionalFormatting>
  <conditionalFormatting sqref="V524">
    <cfRule type="containsText" dxfId="379" priority="487" operator="containsText" text="X">
      <formula>NOT(ISERROR(SEARCH("X",V524)))</formula>
    </cfRule>
  </conditionalFormatting>
  <conditionalFormatting sqref="T524">
    <cfRule type="containsText" dxfId="378" priority="488" operator="containsText" text="X">
      <formula>NOT(ISERROR(SEARCH("X",T524)))</formula>
    </cfRule>
  </conditionalFormatting>
  <conditionalFormatting sqref="X524">
    <cfRule type="containsText" dxfId="377" priority="486" operator="containsText" text="X">
      <formula>NOT(ISERROR(SEARCH("X",X524)))</formula>
    </cfRule>
  </conditionalFormatting>
  <conditionalFormatting sqref="V635">
    <cfRule type="containsText" dxfId="376" priority="484" operator="containsText" text="X">
      <formula>NOT(ISERROR(SEARCH("X",V635)))</formula>
    </cfRule>
  </conditionalFormatting>
  <conditionalFormatting sqref="T635">
    <cfRule type="containsText" dxfId="375" priority="485" operator="containsText" text="X">
      <formula>NOT(ISERROR(SEARCH("X",T635)))</formula>
    </cfRule>
  </conditionalFormatting>
  <conditionalFormatting sqref="X635">
    <cfRule type="containsText" dxfId="374" priority="483" operator="containsText" text="X">
      <formula>NOT(ISERROR(SEARCH("X",X635)))</formula>
    </cfRule>
  </conditionalFormatting>
  <conditionalFormatting sqref="V639">
    <cfRule type="containsText" dxfId="373" priority="481" operator="containsText" text="X">
      <formula>NOT(ISERROR(SEARCH("X",V639)))</formula>
    </cfRule>
  </conditionalFormatting>
  <conditionalFormatting sqref="T639">
    <cfRule type="containsText" dxfId="372" priority="482" operator="containsText" text="X">
      <formula>NOT(ISERROR(SEARCH("X",T639)))</formula>
    </cfRule>
  </conditionalFormatting>
  <conditionalFormatting sqref="X639">
    <cfRule type="containsText" dxfId="371" priority="480" operator="containsText" text="X">
      <formula>NOT(ISERROR(SEARCH("X",X639)))</formula>
    </cfRule>
  </conditionalFormatting>
  <conditionalFormatting sqref="V650">
    <cfRule type="containsText" dxfId="370" priority="478" operator="containsText" text="X">
      <formula>NOT(ISERROR(SEARCH("X",V650)))</formula>
    </cfRule>
  </conditionalFormatting>
  <conditionalFormatting sqref="T650">
    <cfRule type="containsText" dxfId="369" priority="479" operator="containsText" text="X">
      <formula>NOT(ISERROR(SEARCH("X",T650)))</formula>
    </cfRule>
  </conditionalFormatting>
  <conditionalFormatting sqref="X650">
    <cfRule type="containsText" dxfId="368" priority="477" operator="containsText" text="X">
      <formula>NOT(ISERROR(SEARCH("X",X650)))</formula>
    </cfRule>
  </conditionalFormatting>
  <conditionalFormatting sqref="V357">
    <cfRule type="containsText" dxfId="367" priority="475" operator="containsText" text="X">
      <formula>NOT(ISERROR(SEARCH("X",V357)))</formula>
    </cfRule>
  </conditionalFormatting>
  <conditionalFormatting sqref="T357">
    <cfRule type="containsText" dxfId="366" priority="476" operator="containsText" text="X">
      <formula>NOT(ISERROR(SEARCH("X",T357)))</formula>
    </cfRule>
  </conditionalFormatting>
  <conditionalFormatting sqref="X357">
    <cfRule type="containsText" dxfId="365" priority="474" operator="containsText" text="X">
      <formula>NOT(ISERROR(SEARCH("X",X357)))</formula>
    </cfRule>
  </conditionalFormatting>
  <conditionalFormatting sqref="X13:X37">
    <cfRule type="containsText" dxfId="364" priority="454" operator="containsText" text="X">
      <formula>NOT(ISERROR(SEARCH("X",X13)))</formula>
    </cfRule>
  </conditionalFormatting>
  <conditionalFormatting sqref="V13:V37">
    <cfRule type="containsText" dxfId="363" priority="455" operator="containsText" text="X">
      <formula>NOT(ISERROR(SEARCH("X",V13)))</formula>
    </cfRule>
  </conditionalFormatting>
  <conditionalFormatting sqref="V553">
    <cfRule type="containsText" dxfId="362" priority="472" operator="containsText" text="X">
      <formula>NOT(ISERROR(SEARCH("X",V553)))</formula>
    </cfRule>
  </conditionalFormatting>
  <conditionalFormatting sqref="T553">
    <cfRule type="containsText" dxfId="361" priority="473" operator="containsText" text="X">
      <formula>NOT(ISERROR(SEARCH("X",T553)))</formula>
    </cfRule>
  </conditionalFormatting>
  <conditionalFormatting sqref="X553">
    <cfRule type="containsText" dxfId="360" priority="471" operator="containsText" text="X">
      <formula>NOT(ISERROR(SEARCH("X",X553)))</formula>
    </cfRule>
  </conditionalFormatting>
  <conditionalFormatting sqref="V582">
    <cfRule type="containsText" dxfId="359" priority="469" operator="containsText" text="X">
      <formula>NOT(ISERROR(SEARCH("X",V582)))</formula>
    </cfRule>
  </conditionalFormatting>
  <conditionalFormatting sqref="T582">
    <cfRule type="containsText" dxfId="358" priority="470" operator="containsText" text="X">
      <formula>NOT(ISERROR(SEARCH("X",T582)))</formula>
    </cfRule>
  </conditionalFormatting>
  <conditionalFormatting sqref="X582">
    <cfRule type="containsText" dxfId="357" priority="468" operator="containsText" text="X">
      <formula>NOT(ISERROR(SEARCH("X",X582)))</formula>
    </cfRule>
  </conditionalFormatting>
  <conditionalFormatting sqref="V606">
    <cfRule type="containsText" dxfId="356" priority="466" operator="containsText" text="X">
      <formula>NOT(ISERROR(SEARCH("X",V606)))</formula>
    </cfRule>
  </conditionalFormatting>
  <conditionalFormatting sqref="T606">
    <cfRule type="containsText" dxfId="355" priority="467" operator="containsText" text="X">
      <formula>NOT(ISERROR(SEARCH("X",T606)))</formula>
    </cfRule>
  </conditionalFormatting>
  <conditionalFormatting sqref="X606">
    <cfRule type="containsText" dxfId="354" priority="465" operator="containsText" text="X">
      <formula>NOT(ISERROR(SEARCH("X",X606)))</formula>
    </cfRule>
  </conditionalFormatting>
  <conditionalFormatting sqref="V630">
    <cfRule type="containsText" dxfId="353" priority="463" operator="containsText" text="X">
      <formula>NOT(ISERROR(SEARCH("X",V630)))</formula>
    </cfRule>
  </conditionalFormatting>
  <conditionalFormatting sqref="T630">
    <cfRule type="containsText" dxfId="352" priority="464" operator="containsText" text="X">
      <formula>NOT(ISERROR(SEARCH("X",T630)))</formula>
    </cfRule>
  </conditionalFormatting>
  <conditionalFormatting sqref="X630">
    <cfRule type="containsText" dxfId="351" priority="462" operator="containsText" text="X">
      <formula>NOT(ISERROR(SEARCH("X",X630)))</formula>
    </cfRule>
  </conditionalFormatting>
  <conditionalFormatting sqref="V643">
    <cfRule type="containsText" dxfId="350" priority="460" operator="containsText" text="X">
      <formula>NOT(ISERROR(SEARCH("X",V643)))</formula>
    </cfRule>
  </conditionalFormatting>
  <conditionalFormatting sqref="T643">
    <cfRule type="containsText" dxfId="349" priority="461" operator="containsText" text="X">
      <formula>NOT(ISERROR(SEARCH("X",T643)))</formula>
    </cfRule>
  </conditionalFormatting>
  <conditionalFormatting sqref="X643">
    <cfRule type="containsText" dxfId="348" priority="459" operator="containsText" text="X">
      <formula>NOT(ISERROR(SEARCH("X",X643)))</formula>
    </cfRule>
  </conditionalFormatting>
  <conditionalFormatting sqref="V649 T649 X649">
    <cfRule type="containsText" dxfId="347" priority="458" operator="containsText" text="X">
      <formula>NOT(ISERROR(SEARCH("X",T649)))</formula>
    </cfRule>
  </conditionalFormatting>
  <conditionalFormatting sqref="S13:S37">
    <cfRule type="containsText" dxfId="346" priority="456" operator="containsText" text="TEXTURA">
      <formula>NOT(ISERROR(SEARCH("TEXTURA",S13)))</formula>
    </cfRule>
    <cfRule type="containsText" dxfId="345" priority="457" operator="containsText" text="EPÓXI">
      <formula>NOT(ISERROR(SEARCH("EPÓXI",S13)))</formula>
    </cfRule>
  </conditionalFormatting>
  <conditionalFormatting sqref="S53:S78">
    <cfRule type="containsText" dxfId="344" priority="444" operator="containsText" text="TEXTURA">
      <formula>NOT(ISERROR(SEARCH("TEXTURA",S53)))</formula>
    </cfRule>
    <cfRule type="containsText" dxfId="343" priority="445" operator="containsText" text="EPÓXI">
      <formula>NOT(ISERROR(SEARCH("EPÓXI",S53)))</formula>
    </cfRule>
  </conditionalFormatting>
  <conditionalFormatting sqref="S81:S124">
    <cfRule type="containsText" dxfId="342" priority="439" operator="containsText" text="TEXTURA">
      <formula>NOT(ISERROR(SEARCH("TEXTURA",S81)))</formula>
    </cfRule>
    <cfRule type="containsText" dxfId="341" priority="440" operator="containsText" text="EPÓXI">
      <formula>NOT(ISERROR(SEARCH("EPÓXI",S81)))</formula>
    </cfRule>
  </conditionalFormatting>
  <conditionalFormatting sqref="S127">
    <cfRule type="containsText" dxfId="340" priority="434" operator="containsText" text="TEXTURA">
      <formula>NOT(ISERROR(SEARCH("TEXTURA",S127)))</formula>
    </cfRule>
    <cfRule type="containsText" dxfId="339" priority="435" operator="containsText" text="EPÓXI">
      <formula>NOT(ISERROR(SEARCH("EPÓXI",S127)))</formula>
    </cfRule>
  </conditionalFormatting>
  <conditionalFormatting sqref="S130:S186">
    <cfRule type="containsText" dxfId="338" priority="429" operator="containsText" text="TEXTURA">
      <formula>NOT(ISERROR(SEARCH("TEXTURA",S130)))</formula>
    </cfRule>
    <cfRule type="containsText" dxfId="337" priority="430" operator="containsText" text="EPÓXI">
      <formula>NOT(ISERROR(SEARCH("EPÓXI",S130)))</formula>
    </cfRule>
  </conditionalFormatting>
  <conditionalFormatting sqref="S189:S222">
    <cfRule type="containsText" dxfId="336" priority="424" operator="containsText" text="TEXTURA">
      <formula>NOT(ISERROR(SEARCH("TEXTURA",S189)))</formula>
    </cfRule>
    <cfRule type="containsText" dxfId="335" priority="425" operator="containsText" text="EPÓXI">
      <formula>NOT(ISERROR(SEARCH("EPÓXI",S189)))</formula>
    </cfRule>
  </conditionalFormatting>
  <conditionalFormatting sqref="S225:S254">
    <cfRule type="containsText" dxfId="334" priority="419" operator="containsText" text="TEXTURA">
      <formula>NOT(ISERROR(SEARCH("TEXTURA",S225)))</formula>
    </cfRule>
    <cfRule type="containsText" dxfId="333" priority="420" operator="containsText" text="EPÓXI">
      <formula>NOT(ISERROR(SEARCH("EPÓXI",S225)))</formula>
    </cfRule>
  </conditionalFormatting>
  <conditionalFormatting sqref="S257:S283">
    <cfRule type="containsText" dxfId="332" priority="414" operator="containsText" text="TEXTURA">
      <formula>NOT(ISERROR(SEARCH("TEXTURA",S257)))</formula>
    </cfRule>
    <cfRule type="containsText" dxfId="331" priority="415" operator="containsText" text="EPÓXI">
      <formula>NOT(ISERROR(SEARCH("EPÓXI",S257)))</formula>
    </cfRule>
  </conditionalFormatting>
  <conditionalFormatting sqref="S286:S320">
    <cfRule type="containsText" dxfId="330" priority="409" operator="containsText" text="TEXTURA">
      <formula>NOT(ISERROR(SEARCH("TEXTURA",S286)))</formula>
    </cfRule>
    <cfRule type="containsText" dxfId="329" priority="410" operator="containsText" text="EPÓXI">
      <formula>NOT(ISERROR(SEARCH("EPÓXI",S286)))</formula>
    </cfRule>
  </conditionalFormatting>
  <conditionalFormatting sqref="S323:S341">
    <cfRule type="containsText" dxfId="328" priority="404" operator="containsText" text="TEXTURA">
      <formula>NOT(ISERROR(SEARCH("TEXTURA",S323)))</formula>
    </cfRule>
    <cfRule type="containsText" dxfId="327" priority="405" operator="containsText" text="EPÓXI">
      <formula>NOT(ISERROR(SEARCH("EPÓXI",S323)))</formula>
    </cfRule>
  </conditionalFormatting>
  <conditionalFormatting sqref="S344:S351">
    <cfRule type="containsText" dxfId="326" priority="399" operator="containsText" text="TEXTURA">
      <formula>NOT(ISERROR(SEARCH("TEXTURA",S344)))</formula>
    </cfRule>
    <cfRule type="containsText" dxfId="325" priority="400" operator="containsText" text="EPÓXI">
      <formula>NOT(ISERROR(SEARCH("EPÓXI",S344)))</formula>
    </cfRule>
  </conditionalFormatting>
  <conditionalFormatting sqref="V357">
    <cfRule type="containsText" dxfId="324" priority="397" operator="containsText" text="X">
      <formula>NOT(ISERROR(SEARCH("X",V357)))</formula>
    </cfRule>
  </conditionalFormatting>
  <conditionalFormatting sqref="X357">
    <cfRule type="containsText" dxfId="323" priority="396" operator="containsText" text="X">
      <formula>NOT(ISERROR(SEARCH("X",X357)))</formula>
    </cfRule>
  </conditionalFormatting>
  <conditionalFormatting sqref="S354:S356">
    <cfRule type="containsText" dxfId="322" priority="394" operator="containsText" text="TEXTURA">
      <formula>NOT(ISERROR(SEARCH("TEXTURA",S354)))</formula>
    </cfRule>
    <cfRule type="containsText" dxfId="321" priority="395" operator="containsText" text="EPÓXI">
      <formula>NOT(ISERROR(SEARCH("EPÓXI",S354)))</formula>
    </cfRule>
  </conditionalFormatting>
  <conditionalFormatting sqref="S361:S374">
    <cfRule type="containsText" dxfId="320" priority="389" operator="containsText" text="TEXTURA">
      <formula>NOT(ISERROR(SEARCH("TEXTURA",S361)))</formula>
    </cfRule>
    <cfRule type="containsText" dxfId="319" priority="390" operator="containsText" text="EPÓXI">
      <formula>NOT(ISERROR(SEARCH("EPÓXI",S361)))</formula>
    </cfRule>
  </conditionalFormatting>
  <conditionalFormatting sqref="S377:S378">
    <cfRule type="containsText" dxfId="318" priority="384" operator="containsText" text="TEXTURA">
      <formula>NOT(ISERROR(SEARCH("TEXTURA",S377)))</formula>
    </cfRule>
    <cfRule type="containsText" dxfId="317" priority="385" operator="containsText" text="EPÓXI">
      <formula>NOT(ISERROR(SEARCH("EPÓXI",S377)))</formula>
    </cfRule>
  </conditionalFormatting>
  <conditionalFormatting sqref="S381:S395">
    <cfRule type="containsText" dxfId="316" priority="379" operator="containsText" text="TEXTURA">
      <formula>NOT(ISERROR(SEARCH("TEXTURA",S381)))</formula>
    </cfRule>
    <cfRule type="containsText" dxfId="315" priority="380" operator="containsText" text="EPÓXI">
      <formula>NOT(ISERROR(SEARCH("EPÓXI",S381)))</formula>
    </cfRule>
  </conditionalFormatting>
  <conditionalFormatting sqref="S399:S424">
    <cfRule type="containsText" dxfId="314" priority="374" operator="containsText" text="TEXTURA">
      <formula>NOT(ISERROR(SEARCH("TEXTURA",S399)))</formula>
    </cfRule>
    <cfRule type="containsText" dxfId="313" priority="375" operator="containsText" text="EPÓXI">
      <formula>NOT(ISERROR(SEARCH("EPÓXI",S399)))</formula>
    </cfRule>
  </conditionalFormatting>
  <conditionalFormatting sqref="S427:S453">
    <cfRule type="containsText" dxfId="312" priority="369" operator="containsText" text="TEXTURA">
      <formula>NOT(ISERROR(SEARCH("TEXTURA",S427)))</formula>
    </cfRule>
    <cfRule type="containsText" dxfId="311" priority="370" operator="containsText" text="EPÓXI">
      <formula>NOT(ISERROR(SEARCH("EPÓXI",S427)))</formula>
    </cfRule>
  </conditionalFormatting>
  <conditionalFormatting sqref="S456:S477">
    <cfRule type="containsText" dxfId="310" priority="364" operator="containsText" text="TEXTURA">
      <formula>NOT(ISERROR(SEARCH("TEXTURA",S456)))</formula>
    </cfRule>
    <cfRule type="containsText" dxfId="309" priority="365" operator="containsText" text="EPÓXI">
      <formula>NOT(ISERROR(SEARCH("EPÓXI",S456)))</formula>
    </cfRule>
  </conditionalFormatting>
  <conditionalFormatting sqref="S480:S501">
    <cfRule type="containsText" dxfId="308" priority="359" operator="containsText" text="TEXTURA">
      <formula>NOT(ISERROR(SEARCH("TEXTURA",S480)))</formula>
    </cfRule>
    <cfRule type="containsText" dxfId="307" priority="360" operator="containsText" text="EPÓXI">
      <formula>NOT(ISERROR(SEARCH("EPÓXI",S480)))</formula>
    </cfRule>
  </conditionalFormatting>
  <conditionalFormatting sqref="S504:S523">
    <cfRule type="containsText" dxfId="306" priority="354" operator="containsText" text="TEXTURA">
      <formula>NOT(ISERROR(SEARCH("TEXTURA",S504)))</formula>
    </cfRule>
    <cfRule type="containsText" dxfId="305" priority="355" operator="containsText" text="EPÓXI">
      <formula>NOT(ISERROR(SEARCH("EPÓXI",S504)))</formula>
    </cfRule>
  </conditionalFormatting>
  <conditionalFormatting sqref="S527:S552">
    <cfRule type="containsText" dxfId="304" priority="349" operator="containsText" text="TEXTURA">
      <formula>NOT(ISERROR(SEARCH("TEXTURA",S527)))</formula>
    </cfRule>
    <cfRule type="containsText" dxfId="303" priority="350" operator="containsText" text="EPÓXI">
      <formula>NOT(ISERROR(SEARCH("EPÓXI",S527)))</formula>
    </cfRule>
  </conditionalFormatting>
  <conditionalFormatting sqref="S555:S581">
    <cfRule type="containsText" dxfId="302" priority="344" operator="containsText" text="TEXTURA">
      <formula>NOT(ISERROR(SEARCH("TEXTURA",S555)))</formula>
    </cfRule>
    <cfRule type="containsText" dxfId="301" priority="345" operator="containsText" text="EPÓXI">
      <formula>NOT(ISERROR(SEARCH("EPÓXI",S555)))</formula>
    </cfRule>
  </conditionalFormatting>
  <conditionalFormatting sqref="S584:S605">
    <cfRule type="containsText" dxfId="300" priority="339" operator="containsText" text="TEXTURA">
      <formula>NOT(ISERROR(SEARCH("TEXTURA",S584)))</formula>
    </cfRule>
    <cfRule type="containsText" dxfId="299" priority="340" operator="containsText" text="EPÓXI">
      <formula>NOT(ISERROR(SEARCH("EPÓXI",S584)))</formula>
    </cfRule>
  </conditionalFormatting>
  <conditionalFormatting sqref="V630:V631">
    <cfRule type="containsText" dxfId="298" priority="337" operator="containsText" text="X">
      <formula>NOT(ISERROR(SEARCH("X",V630)))</formula>
    </cfRule>
  </conditionalFormatting>
  <conditionalFormatting sqref="X630:X631">
    <cfRule type="containsText" dxfId="297" priority="336" operator="containsText" text="X">
      <formula>NOT(ISERROR(SEARCH("X",X630)))</formula>
    </cfRule>
  </conditionalFormatting>
  <conditionalFormatting sqref="S608:S629">
    <cfRule type="containsText" dxfId="296" priority="334" operator="containsText" text="TEXTURA">
      <formula>NOT(ISERROR(SEARCH("TEXTURA",S608)))</formula>
    </cfRule>
    <cfRule type="containsText" dxfId="295" priority="335" operator="containsText" text="EPÓXI">
      <formula>NOT(ISERROR(SEARCH("EPÓXI",S608)))</formula>
    </cfRule>
  </conditionalFormatting>
  <conditionalFormatting sqref="S633">
    <cfRule type="containsText" dxfId="294" priority="329" operator="containsText" text="TEXTURA">
      <formula>NOT(ISERROR(SEARCH("TEXTURA",S633)))</formula>
    </cfRule>
    <cfRule type="containsText" dxfId="293" priority="330" operator="containsText" text="EPÓXI">
      <formula>NOT(ISERROR(SEARCH("EPÓXI",S633)))</formula>
    </cfRule>
  </conditionalFormatting>
  <conditionalFormatting sqref="S637">
    <cfRule type="containsText" dxfId="292" priority="324" operator="containsText" text="TEXTURA">
      <formula>NOT(ISERROR(SEARCH("TEXTURA",S637)))</formula>
    </cfRule>
    <cfRule type="containsText" dxfId="291" priority="325" operator="containsText" text="EPÓXI">
      <formula>NOT(ISERROR(SEARCH("EPÓXI",S637)))</formula>
    </cfRule>
  </conditionalFormatting>
  <conditionalFormatting sqref="S641">
    <cfRule type="containsText" dxfId="290" priority="319" operator="containsText" text="TEXTURA">
      <formula>NOT(ISERROR(SEARCH("TEXTURA",S641)))</formula>
    </cfRule>
    <cfRule type="containsText" dxfId="289" priority="320" operator="containsText" text="EPÓXI">
      <formula>NOT(ISERROR(SEARCH("EPÓXI",S641)))</formula>
    </cfRule>
  </conditionalFormatting>
  <conditionalFormatting sqref="S645:S648">
    <cfRule type="containsText" dxfId="288" priority="314" operator="containsText" text="TEXTURA">
      <formula>NOT(ISERROR(SEARCH("TEXTURA",S645)))</formula>
    </cfRule>
    <cfRule type="containsText" dxfId="287" priority="315" operator="containsText" text="EPÓXI">
      <formula>NOT(ISERROR(SEARCH("EPÓXI",S645)))</formula>
    </cfRule>
  </conditionalFormatting>
  <conditionalFormatting sqref="T40:T50">
    <cfRule type="containsText" dxfId="286" priority="313" operator="containsText" text="X">
      <formula>NOT(ISERROR(SEARCH("X",T40)))</formula>
    </cfRule>
  </conditionalFormatting>
  <conditionalFormatting sqref="X40:X50">
    <cfRule type="containsText" dxfId="285" priority="309" operator="containsText" text="X">
      <formula>NOT(ISERROR(SEARCH("X",X40)))</formula>
    </cfRule>
  </conditionalFormatting>
  <conditionalFormatting sqref="V40:V50">
    <cfRule type="containsText" dxfId="284" priority="310" operator="containsText" text="X">
      <formula>NOT(ISERROR(SEARCH("X",V40)))</formula>
    </cfRule>
  </conditionalFormatting>
  <conditionalFormatting sqref="S40:S50">
    <cfRule type="containsText" dxfId="283" priority="311" operator="containsText" text="TEXTURA">
      <formula>NOT(ISERROR(SEARCH("TEXTURA",S40)))</formula>
    </cfRule>
    <cfRule type="containsText" dxfId="282" priority="312" operator="containsText" text="EPÓXI">
      <formula>NOT(ISERROR(SEARCH("EPÓXI",S40)))</formula>
    </cfRule>
  </conditionalFormatting>
  <conditionalFormatting sqref="AA40:AA50">
    <cfRule type="containsText" dxfId="281" priority="308" operator="containsText" text="X">
      <formula>NOT(ISERROR(SEARCH("X",AA40)))</formula>
    </cfRule>
  </conditionalFormatting>
  <conditionalFormatting sqref="AE40:AE50">
    <cfRule type="containsText" dxfId="280" priority="304" operator="containsText" text="X">
      <formula>NOT(ISERROR(SEARCH("X",AE40)))</formula>
    </cfRule>
  </conditionalFormatting>
  <conditionalFormatting sqref="AC40:AC50">
    <cfRule type="containsText" dxfId="279" priority="305" operator="containsText" text="X">
      <formula>NOT(ISERROR(SEARCH("X",AC40)))</formula>
    </cfRule>
  </conditionalFormatting>
  <conditionalFormatting sqref="Z40:Z50">
    <cfRule type="containsText" dxfId="278" priority="306" operator="containsText" text="TEXTURA">
      <formula>NOT(ISERROR(SEARCH("TEXTURA",Z40)))</formula>
    </cfRule>
    <cfRule type="containsText" dxfId="277" priority="307" operator="containsText" text="EPÓXI">
      <formula>NOT(ISERROR(SEARCH("EPÓXI",Z40)))</formula>
    </cfRule>
  </conditionalFormatting>
  <conditionalFormatting sqref="T53:T78">
    <cfRule type="containsText" dxfId="276" priority="303" operator="containsText" text="X">
      <formula>NOT(ISERROR(SEARCH("X",T53)))</formula>
    </cfRule>
  </conditionalFormatting>
  <conditionalFormatting sqref="X53:X78">
    <cfRule type="containsText" dxfId="275" priority="301" operator="containsText" text="X">
      <formula>NOT(ISERROR(SEARCH("X",X53)))</formula>
    </cfRule>
  </conditionalFormatting>
  <conditionalFormatting sqref="V53:V78">
    <cfRule type="containsText" dxfId="274" priority="302" operator="containsText" text="X">
      <formula>NOT(ISERROR(SEARCH("X",V53)))</formula>
    </cfRule>
  </conditionalFormatting>
  <conditionalFormatting sqref="AA53:AA78">
    <cfRule type="containsText" dxfId="273" priority="300" operator="containsText" text="X">
      <formula>NOT(ISERROR(SEARCH("X",AA53)))</formula>
    </cfRule>
  </conditionalFormatting>
  <conditionalFormatting sqref="AE53:AE78">
    <cfRule type="containsText" dxfId="272" priority="296" operator="containsText" text="X">
      <formula>NOT(ISERROR(SEARCH("X",AE53)))</formula>
    </cfRule>
  </conditionalFormatting>
  <conditionalFormatting sqref="AC53:AC78">
    <cfRule type="containsText" dxfId="271" priority="297" operator="containsText" text="X">
      <formula>NOT(ISERROR(SEARCH("X",AC53)))</formula>
    </cfRule>
  </conditionalFormatting>
  <conditionalFormatting sqref="Z53:Z78">
    <cfRule type="containsText" dxfId="270" priority="298" operator="containsText" text="TEXTURA">
      <formula>NOT(ISERROR(SEARCH("TEXTURA",Z53)))</formula>
    </cfRule>
    <cfRule type="containsText" dxfId="269" priority="299" operator="containsText" text="EPÓXI">
      <formula>NOT(ISERROR(SEARCH("EPÓXI",Z53)))</formula>
    </cfRule>
  </conditionalFormatting>
  <conditionalFormatting sqref="T81:T124">
    <cfRule type="containsText" dxfId="268" priority="295" operator="containsText" text="X">
      <formula>NOT(ISERROR(SEARCH("X",T81)))</formula>
    </cfRule>
  </conditionalFormatting>
  <conditionalFormatting sqref="X81:X124">
    <cfRule type="containsText" dxfId="267" priority="293" operator="containsText" text="X">
      <formula>NOT(ISERROR(SEARCH("X",X81)))</formula>
    </cfRule>
  </conditionalFormatting>
  <conditionalFormatting sqref="V81:V124">
    <cfRule type="containsText" dxfId="266" priority="294" operator="containsText" text="X">
      <formula>NOT(ISERROR(SEARCH("X",V81)))</formula>
    </cfRule>
  </conditionalFormatting>
  <conditionalFormatting sqref="AA81:AA124">
    <cfRule type="containsText" dxfId="265" priority="292" operator="containsText" text="X">
      <formula>NOT(ISERROR(SEARCH("X",AA81)))</formula>
    </cfRule>
  </conditionalFormatting>
  <conditionalFormatting sqref="AE81:AE124">
    <cfRule type="containsText" dxfId="264" priority="288" operator="containsText" text="X">
      <formula>NOT(ISERROR(SEARCH("X",AE81)))</formula>
    </cfRule>
  </conditionalFormatting>
  <conditionalFormatting sqref="AC81:AC124">
    <cfRule type="containsText" dxfId="263" priority="289" operator="containsText" text="X">
      <formula>NOT(ISERROR(SEARCH("X",AC81)))</formula>
    </cfRule>
  </conditionalFormatting>
  <conditionalFormatting sqref="Z81:Z124">
    <cfRule type="containsText" dxfId="262" priority="290" operator="containsText" text="TEXTURA">
      <formula>NOT(ISERROR(SEARCH("TEXTURA",Z81)))</formula>
    </cfRule>
    <cfRule type="containsText" dxfId="261" priority="291" operator="containsText" text="EPÓXI">
      <formula>NOT(ISERROR(SEARCH("EPÓXI",Z81)))</formula>
    </cfRule>
  </conditionalFormatting>
  <conditionalFormatting sqref="T127">
    <cfRule type="containsText" dxfId="260" priority="287" operator="containsText" text="X">
      <formula>NOT(ISERROR(SEARCH("X",T127)))</formula>
    </cfRule>
  </conditionalFormatting>
  <conditionalFormatting sqref="X127">
    <cfRule type="containsText" dxfId="259" priority="285" operator="containsText" text="X">
      <formula>NOT(ISERROR(SEARCH("X",X127)))</formula>
    </cfRule>
  </conditionalFormatting>
  <conditionalFormatting sqref="V127">
    <cfRule type="containsText" dxfId="258" priority="286" operator="containsText" text="X">
      <formula>NOT(ISERROR(SEARCH("X",V127)))</formula>
    </cfRule>
  </conditionalFormatting>
  <conditionalFormatting sqref="AA127">
    <cfRule type="containsText" dxfId="257" priority="284" operator="containsText" text="X">
      <formula>NOT(ISERROR(SEARCH("X",AA127)))</formula>
    </cfRule>
  </conditionalFormatting>
  <conditionalFormatting sqref="AE127">
    <cfRule type="containsText" dxfId="256" priority="280" operator="containsText" text="X">
      <formula>NOT(ISERROR(SEARCH("X",AE127)))</formula>
    </cfRule>
  </conditionalFormatting>
  <conditionalFormatting sqref="AC127">
    <cfRule type="containsText" dxfId="255" priority="281" operator="containsText" text="X">
      <formula>NOT(ISERROR(SEARCH("X",AC127)))</formula>
    </cfRule>
  </conditionalFormatting>
  <conditionalFormatting sqref="Z127">
    <cfRule type="containsText" dxfId="254" priority="282" operator="containsText" text="TEXTURA">
      <formula>NOT(ISERROR(SEARCH("TEXTURA",Z127)))</formula>
    </cfRule>
    <cfRule type="containsText" dxfId="253" priority="283" operator="containsText" text="EPÓXI">
      <formula>NOT(ISERROR(SEARCH("EPÓXI",Z127)))</formula>
    </cfRule>
  </conditionalFormatting>
  <conditionalFormatting sqref="T130:T186">
    <cfRule type="containsText" dxfId="252" priority="279" operator="containsText" text="X">
      <formula>NOT(ISERROR(SEARCH("X",T130)))</formula>
    </cfRule>
  </conditionalFormatting>
  <conditionalFormatting sqref="X130:X186">
    <cfRule type="containsText" dxfId="251" priority="277" operator="containsText" text="X">
      <formula>NOT(ISERROR(SEARCH("X",X130)))</formula>
    </cfRule>
  </conditionalFormatting>
  <conditionalFormatting sqref="V130:V186">
    <cfRule type="containsText" dxfId="250" priority="278" operator="containsText" text="X">
      <formula>NOT(ISERROR(SEARCH("X",V130)))</formula>
    </cfRule>
  </conditionalFormatting>
  <conditionalFormatting sqref="AA130:AA186">
    <cfRule type="containsText" dxfId="249" priority="276" operator="containsText" text="X">
      <formula>NOT(ISERROR(SEARCH("X",AA130)))</formula>
    </cfRule>
  </conditionalFormatting>
  <conditionalFormatting sqref="AE130:AE186">
    <cfRule type="containsText" dxfId="248" priority="272" operator="containsText" text="X">
      <formula>NOT(ISERROR(SEARCH("X",AE130)))</formula>
    </cfRule>
  </conditionalFormatting>
  <conditionalFormatting sqref="AC130:AC186">
    <cfRule type="containsText" dxfId="247" priority="273" operator="containsText" text="X">
      <formula>NOT(ISERROR(SEARCH("X",AC130)))</formula>
    </cfRule>
  </conditionalFormatting>
  <conditionalFormatting sqref="Z130:Z186">
    <cfRule type="containsText" dxfId="246" priority="274" operator="containsText" text="TEXTURA">
      <formula>NOT(ISERROR(SEARCH("TEXTURA",Z130)))</formula>
    </cfRule>
    <cfRule type="containsText" dxfId="245" priority="275" operator="containsText" text="EPÓXI">
      <formula>NOT(ISERROR(SEARCH("EPÓXI",Z130)))</formula>
    </cfRule>
  </conditionalFormatting>
  <conditionalFormatting sqref="T189:T222">
    <cfRule type="containsText" dxfId="244" priority="271" operator="containsText" text="X">
      <formula>NOT(ISERROR(SEARCH("X",T189)))</formula>
    </cfRule>
  </conditionalFormatting>
  <conditionalFormatting sqref="X189:X222">
    <cfRule type="containsText" dxfId="243" priority="269" operator="containsText" text="X">
      <formula>NOT(ISERROR(SEARCH("X",X189)))</formula>
    </cfRule>
  </conditionalFormatting>
  <conditionalFormatting sqref="V189:V222">
    <cfRule type="containsText" dxfId="242" priority="270" operator="containsText" text="X">
      <formula>NOT(ISERROR(SEARCH("X",V189)))</formula>
    </cfRule>
  </conditionalFormatting>
  <conditionalFormatting sqref="AA189:AA222">
    <cfRule type="containsText" dxfId="241" priority="268" operator="containsText" text="X">
      <formula>NOT(ISERROR(SEARCH("X",AA189)))</formula>
    </cfRule>
  </conditionalFormatting>
  <conditionalFormatting sqref="AE189:AE222">
    <cfRule type="containsText" dxfId="240" priority="264" operator="containsText" text="X">
      <formula>NOT(ISERROR(SEARCH("X",AE189)))</formula>
    </cfRule>
  </conditionalFormatting>
  <conditionalFormatting sqref="AC189:AC222">
    <cfRule type="containsText" dxfId="239" priority="265" operator="containsText" text="X">
      <formula>NOT(ISERROR(SEARCH("X",AC189)))</formula>
    </cfRule>
  </conditionalFormatting>
  <conditionalFormatting sqref="Z189:Z222">
    <cfRule type="containsText" dxfId="238" priority="266" operator="containsText" text="TEXTURA">
      <formula>NOT(ISERROR(SEARCH("TEXTURA",Z189)))</formula>
    </cfRule>
    <cfRule type="containsText" dxfId="237" priority="267" operator="containsText" text="EPÓXI">
      <formula>NOT(ISERROR(SEARCH("EPÓXI",Z189)))</formula>
    </cfRule>
  </conditionalFormatting>
  <conditionalFormatting sqref="T225:T254">
    <cfRule type="containsText" dxfId="236" priority="263" operator="containsText" text="X">
      <formula>NOT(ISERROR(SEARCH("X",T225)))</formula>
    </cfRule>
  </conditionalFormatting>
  <conditionalFormatting sqref="X225:X254">
    <cfRule type="containsText" dxfId="235" priority="261" operator="containsText" text="X">
      <formula>NOT(ISERROR(SEARCH("X",X225)))</formula>
    </cfRule>
  </conditionalFormatting>
  <conditionalFormatting sqref="V225:V254">
    <cfRule type="containsText" dxfId="234" priority="262" operator="containsText" text="X">
      <formula>NOT(ISERROR(SEARCH("X",V225)))</formula>
    </cfRule>
  </conditionalFormatting>
  <conditionalFormatting sqref="AA225:AA254">
    <cfRule type="containsText" dxfId="233" priority="260" operator="containsText" text="X">
      <formula>NOT(ISERROR(SEARCH("X",AA225)))</formula>
    </cfRule>
  </conditionalFormatting>
  <conditionalFormatting sqref="AE225:AE254">
    <cfRule type="containsText" dxfId="232" priority="256" operator="containsText" text="X">
      <formula>NOT(ISERROR(SEARCH("X",AE225)))</formula>
    </cfRule>
  </conditionalFormatting>
  <conditionalFormatting sqref="AC225:AC254">
    <cfRule type="containsText" dxfId="231" priority="257" operator="containsText" text="X">
      <formula>NOT(ISERROR(SEARCH("X",AC225)))</formula>
    </cfRule>
  </conditionalFormatting>
  <conditionalFormatting sqref="Z225:Z254">
    <cfRule type="containsText" dxfId="230" priority="258" operator="containsText" text="TEXTURA">
      <formula>NOT(ISERROR(SEARCH("TEXTURA",Z225)))</formula>
    </cfRule>
    <cfRule type="containsText" dxfId="229" priority="259" operator="containsText" text="EPÓXI">
      <formula>NOT(ISERROR(SEARCH("EPÓXI",Z225)))</formula>
    </cfRule>
  </conditionalFormatting>
  <conditionalFormatting sqref="T257:T283">
    <cfRule type="containsText" dxfId="228" priority="255" operator="containsText" text="X">
      <formula>NOT(ISERROR(SEARCH("X",T257)))</formula>
    </cfRule>
  </conditionalFormatting>
  <conditionalFormatting sqref="X257:X283">
    <cfRule type="containsText" dxfId="227" priority="253" operator="containsText" text="X">
      <formula>NOT(ISERROR(SEARCH("X",X257)))</formula>
    </cfRule>
  </conditionalFormatting>
  <conditionalFormatting sqref="V257:V283">
    <cfRule type="containsText" dxfId="226" priority="254" operator="containsText" text="X">
      <formula>NOT(ISERROR(SEARCH("X",V257)))</formula>
    </cfRule>
  </conditionalFormatting>
  <conditionalFormatting sqref="AA257:AA283">
    <cfRule type="containsText" dxfId="225" priority="252" operator="containsText" text="X">
      <formula>NOT(ISERROR(SEARCH("X",AA257)))</formula>
    </cfRule>
  </conditionalFormatting>
  <conditionalFormatting sqref="AE257:AE283">
    <cfRule type="containsText" dxfId="224" priority="248" operator="containsText" text="X">
      <formula>NOT(ISERROR(SEARCH("X",AE257)))</formula>
    </cfRule>
  </conditionalFormatting>
  <conditionalFormatting sqref="AC257:AC283">
    <cfRule type="containsText" dxfId="223" priority="249" operator="containsText" text="X">
      <formula>NOT(ISERROR(SEARCH("X",AC257)))</formula>
    </cfRule>
  </conditionalFormatting>
  <conditionalFormatting sqref="Z257:Z283">
    <cfRule type="containsText" dxfId="222" priority="250" operator="containsText" text="TEXTURA">
      <formula>NOT(ISERROR(SEARCH("TEXTURA",Z257)))</formula>
    </cfRule>
    <cfRule type="containsText" dxfId="221" priority="251" operator="containsText" text="EPÓXI">
      <formula>NOT(ISERROR(SEARCH("EPÓXI",Z257)))</formula>
    </cfRule>
  </conditionalFormatting>
  <conditionalFormatting sqref="T286:T320">
    <cfRule type="containsText" dxfId="220" priority="247" operator="containsText" text="X">
      <formula>NOT(ISERROR(SEARCH("X",T286)))</formula>
    </cfRule>
  </conditionalFormatting>
  <conditionalFormatting sqref="X286:X320">
    <cfRule type="containsText" dxfId="219" priority="245" operator="containsText" text="X">
      <formula>NOT(ISERROR(SEARCH("X",X286)))</formula>
    </cfRule>
  </conditionalFormatting>
  <conditionalFormatting sqref="V286:V320">
    <cfRule type="containsText" dxfId="218" priority="246" operator="containsText" text="X">
      <formula>NOT(ISERROR(SEARCH("X",V286)))</formula>
    </cfRule>
  </conditionalFormatting>
  <conditionalFormatting sqref="AA286:AA320">
    <cfRule type="containsText" dxfId="217" priority="244" operator="containsText" text="X">
      <formula>NOT(ISERROR(SEARCH("X",AA286)))</formula>
    </cfRule>
  </conditionalFormatting>
  <conditionalFormatting sqref="AE286:AE320">
    <cfRule type="containsText" dxfId="216" priority="240" operator="containsText" text="X">
      <formula>NOT(ISERROR(SEARCH("X",AE286)))</formula>
    </cfRule>
  </conditionalFormatting>
  <conditionalFormatting sqref="AC286:AC320">
    <cfRule type="containsText" dxfId="215" priority="241" operator="containsText" text="X">
      <formula>NOT(ISERROR(SEARCH("X",AC286)))</formula>
    </cfRule>
  </conditionalFormatting>
  <conditionalFormatting sqref="Z286:Z320">
    <cfRule type="containsText" dxfId="214" priority="242" operator="containsText" text="TEXTURA">
      <formula>NOT(ISERROR(SEARCH("TEXTURA",Z286)))</formula>
    </cfRule>
    <cfRule type="containsText" dxfId="213" priority="243" operator="containsText" text="EPÓXI">
      <formula>NOT(ISERROR(SEARCH("EPÓXI",Z286)))</formula>
    </cfRule>
  </conditionalFormatting>
  <conditionalFormatting sqref="T323:T341">
    <cfRule type="containsText" dxfId="212" priority="239" operator="containsText" text="X">
      <formula>NOT(ISERROR(SEARCH("X",T323)))</formula>
    </cfRule>
  </conditionalFormatting>
  <conditionalFormatting sqref="X323:X341">
    <cfRule type="containsText" dxfId="211" priority="237" operator="containsText" text="X">
      <formula>NOT(ISERROR(SEARCH("X",X323)))</formula>
    </cfRule>
  </conditionalFormatting>
  <conditionalFormatting sqref="V323:V341">
    <cfRule type="containsText" dxfId="210" priority="238" operator="containsText" text="X">
      <formula>NOT(ISERROR(SEARCH("X",V323)))</formula>
    </cfRule>
  </conditionalFormatting>
  <conditionalFormatting sqref="AA323:AA341">
    <cfRule type="containsText" dxfId="209" priority="236" operator="containsText" text="X">
      <formula>NOT(ISERROR(SEARCH("X",AA323)))</formula>
    </cfRule>
  </conditionalFormatting>
  <conditionalFormatting sqref="AE323:AE341">
    <cfRule type="containsText" dxfId="208" priority="232" operator="containsText" text="X">
      <formula>NOT(ISERROR(SEARCH("X",AE323)))</formula>
    </cfRule>
  </conditionalFormatting>
  <conditionalFormatting sqref="AC323:AC341">
    <cfRule type="containsText" dxfId="207" priority="233" operator="containsText" text="X">
      <formula>NOT(ISERROR(SEARCH("X",AC323)))</formula>
    </cfRule>
  </conditionalFormatting>
  <conditionalFormatting sqref="Z323:Z341">
    <cfRule type="containsText" dxfId="206" priority="234" operator="containsText" text="TEXTURA">
      <formula>NOT(ISERROR(SEARCH("TEXTURA",Z323)))</formula>
    </cfRule>
    <cfRule type="containsText" dxfId="205" priority="235" operator="containsText" text="EPÓXI">
      <formula>NOT(ISERROR(SEARCH("EPÓXI",Z323)))</formula>
    </cfRule>
  </conditionalFormatting>
  <conditionalFormatting sqref="T344:T351">
    <cfRule type="containsText" dxfId="204" priority="231" operator="containsText" text="X">
      <formula>NOT(ISERROR(SEARCH("X",T344)))</formula>
    </cfRule>
  </conditionalFormatting>
  <conditionalFormatting sqref="X344:X351">
    <cfRule type="containsText" dxfId="203" priority="229" operator="containsText" text="X">
      <formula>NOT(ISERROR(SEARCH("X",X344)))</formula>
    </cfRule>
  </conditionalFormatting>
  <conditionalFormatting sqref="V344:V351">
    <cfRule type="containsText" dxfId="202" priority="230" operator="containsText" text="X">
      <formula>NOT(ISERROR(SEARCH("X",V344)))</formula>
    </cfRule>
  </conditionalFormatting>
  <conditionalFormatting sqref="AA344:AA351">
    <cfRule type="containsText" dxfId="201" priority="228" operator="containsText" text="X">
      <formula>NOT(ISERROR(SEARCH("X",AA344)))</formula>
    </cfRule>
  </conditionalFormatting>
  <conditionalFormatting sqref="AE344:AE351">
    <cfRule type="containsText" dxfId="200" priority="224" operator="containsText" text="X">
      <formula>NOT(ISERROR(SEARCH("X",AE344)))</formula>
    </cfRule>
  </conditionalFormatting>
  <conditionalFormatting sqref="AC344:AC351">
    <cfRule type="containsText" dxfId="199" priority="225" operator="containsText" text="X">
      <formula>NOT(ISERROR(SEARCH("X",AC344)))</formula>
    </cfRule>
  </conditionalFormatting>
  <conditionalFormatting sqref="Z344:Z351">
    <cfRule type="containsText" dxfId="198" priority="226" operator="containsText" text="TEXTURA">
      <formula>NOT(ISERROR(SEARCH("TEXTURA",Z344)))</formula>
    </cfRule>
    <cfRule type="containsText" dxfId="197" priority="227" operator="containsText" text="EPÓXI">
      <formula>NOT(ISERROR(SEARCH("EPÓXI",Z344)))</formula>
    </cfRule>
  </conditionalFormatting>
  <conditionalFormatting sqref="T354:T356">
    <cfRule type="containsText" dxfId="196" priority="223" operator="containsText" text="X">
      <formula>NOT(ISERROR(SEARCH("X",T354)))</formula>
    </cfRule>
  </conditionalFormatting>
  <conditionalFormatting sqref="X354:X356">
    <cfRule type="containsText" dxfId="195" priority="221" operator="containsText" text="X">
      <formula>NOT(ISERROR(SEARCH("X",X354)))</formula>
    </cfRule>
  </conditionalFormatting>
  <conditionalFormatting sqref="V354:V356">
    <cfRule type="containsText" dxfId="194" priority="222" operator="containsText" text="X">
      <formula>NOT(ISERROR(SEARCH("X",V354)))</formula>
    </cfRule>
  </conditionalFormatting>
  <conditionalFormatting sqref="AA354:AA356">
    <cfRule type="containsText" dxfId="193" priority="220" operator="containsText" text="X">
      <formula>NOT(ISERROR(SEARCH("X",AA354)))</formula>
    </cfRule>
  </conditionalFormatting>
  <conditionalFormatting sqref="AE354:AE356">
    <cfRule type="containsText" dxfId="192" priority="216" operator="containsText" text="X">
      <formula>NOT(ISERROR(SEARCH("X",AE354)))</formula>
    </cfRule>
  </conditionalFormatting>
  <conditionalFormatting sqref="AC354:AC356">
    <cfRule type="containsText" dxfId="191" priority="217" operator="containsText" text="X">
      <formula>NOT(ISERROR(SEARCH("X",AC354)))</formula>
    </cfRule>
  </conditionalFormatting>
  <conditionalFormatting sqref="Z354:Z356">
    <cfRule type="containsText" dxfId="190" priority="218" operator="containsText" text="TEXTURA">
      <formula>NOT(ISERROR(SEARCH("TEXTURA",Z354)))</formula>
    </cfRule>
    <cfRule type="containsText" dxfId="189" priority="219" operator="containsText" text="EPÓXI">
      <formula>NOT(ISERROR(SEARCH("EPÓXI",Z354)))</formula>
    </cfRule>
  </conditionalFormatting>
  <conditionalFormatting sqref="T361:T374">
    <cfRule type="containsText" dxfId="188" priority="215" operator="containsText" text="X">
      <formula>NOT(ISERROR(SEARCH("X",T361)))</formula>
    </cfRule>
  </conditionalFormatting>
  <conditionalFormatting sqref="X361:X374">
    <cfRule type="containsText" dxfId="187" priority="213" operator="containsText" text="X">
      <formula>NOT(ISERROR(SEARCH("X",X361)))</formula>
    </cfRule>
  </conditionalFormatting>
  <conditionalFormatting sqref="V361:V374">
    <cfRule type="containsText" dxfId="186" priority="214" operator="containsText" text="X">
      <formula>NOT(ISERROR(SEARCH("X",V361)))</formula>
    </cfRule>
  </conditionalFormatting>
  <conditionalFormatting sqref="AA361:AA374">
    <cfRule type="containsText" dxfId="185" priority="212" operator="containsText" text="X">
      <formula>NOT(ISERROR(SEARCH("X",AA361)))</formula>
    </cfRule>
  </conditionalFormatting>
  <conditionalFormatting sqref="AE361:AE374">
    <cfRule type="containsText" dxfId="184" priority="208" operator="containsText" text="X">
      <formula>NOT(ISERROR(SEARCH("X",AE361)))</formula>
    </cfRule>
  </conditionalFormatting>
  <conditionalFormatting sqref="AC361:AC374">
    <cfRule type="containsText" dxfId="183" priority="209" operator="containsText" text="X">
      <formula>NOT(ISERROR(SEARCH("X",AC361)))</formula>
    </cfRule>
  </conditionalFormatting>
  <conditionalFormatting sqref="Z361:Z374">
    <cfRule type="containsText" dxfId="182" priority="210" operator="containsText" text="TEXTURA">
      <formula>NOT(ISERROR(SEARCH("TEXTURA",Z361)))</formula>
    </cfRule>
    <cfRule type="containsText" dxfId="181" priority="211" operator="containsText" text="EPÓXI">
      <formula>NOT(ISERROR(SEARCH("EPÓXI",Z361)))</formula>
    </cfRule>
  </conditionalFormatting>
  <conditionalFormatting sqref="T377:T378">
    <cfRule type="containsText" dxfId="180" priority="207" operator="containsText" text="X">
      <formula>NOT(ISERROR(SEARCH("X",T377)))</formula>
    </cfRule>
  </conditionalFormatting>
  <conditionalFormatting sqref="X377:X378">
    <cfRule type="containsText" dxfId="179" priority="205" operator="containsText" text="X">
      <formula>NOT(ISERROR(SEARCH("X",X377)))</formula>
    </cfRule>
  </conditionalFormatting>
  <conditionalFormatting sqref="V377:V378">
    <cfRule type="containsText" dxfId="178" priority="206" operator="containsText" text="X">
      <formula>NOT(ISERROR(SEARCH("X",V377)))</formula>
    </cfRule>
  </conditionalFormatting>
  <conditionalFormatting sqref="AA377:AA378">
    <cfRule type="containsText" dxfId="177" priority="204" operator="containsText" text="X">
      <formula>NOT(ISERROR(SEARCH("X",AA377)))</formula>
    </cfRule>
  </conditionalFormatting>
  <conditionalFormatting sqref="AE377:AE378">
    <cfRule type="containsText" dxfId="176" priority="200" operator="containsText" text="X">
      <formula>NOT(ISERROR(SEARCH("X",AE377)))</formula>
    </cfRule>
  </conditionalFormatting>
  <conditionalFormatting sqref="AC377:AC378">
    <cfRule type="containsText" dxfId="175" priority="201" operator="containsText" text="X">
      <formula>NOT(ISERROR(SEARCH("X",AC377)))</formula>
    </cfRule>
  </conditionalFormatting>
  <conditionalFormatting sqref="Z377:Z378">
    <cfRule type="containsText" dxfId="174" priority="202" operator="containsText" text="TEXTURA">
      <formula>NOT(ISERROR(SEARCH("TEXTURA",Z377)))</formula>
    </cfRule>
    <cfRule type="containsText" dxfId="173" priority="203" operator="containsText" text="EPÓXI">
      <formula>NOT(ISERROR(SEARCH("EPÓXI",Z377)))</formula>
    </cfRule>
  </conditionalFormatting>
  <conditionalFormatting sqref="T381:T395">
    <cfRule type="containsText" dxfId="172" priority="199" operator="containsText" text="X">
      <formula>NOT(ISERROR(SEARCH("X",T381)))</formula>
    </cfRule>
  </conditionalFormatting>
  <conditionalFormatting sqref="X381:X395">
    <cfRule type="containsText" dxfId="171" priority="197" operator="containsText" text="X">
      <formula>NOT(ISERROR(SEARCH("X",X381)))</formula>
    </cfRule>
  </conditionalFormatting>
  <conditionalFormatting sqref="V381:V395">
    <cfRule type="containsText" dxfId="170" priority="198" operator="containsText" text="X">
      <formula>NOT(ISERROR(SEARCH("X",V381)))</formula>
    </cfRule>
  </conditionalFormatting>
  <conditionalFormatting sqref="AA381:AA395">
    <cfRule type="containsText" dxfId="169" priority="196" operator="containsText" text="X">
      <formula>NOT(ISERROR(SEARCH("X",AA381)))</formula>
    </cfRule>
  </conditionalFormatting>
  <conditionalFormatting sqref="AE381:AE395">
    <cfRule type="containsText" dxfId="168" priority="192" operator="containsText" text="X">
      <formula>NOT(ISERROR(SEARCH("X",AE381)))</formula>
    </cfRule>
  </conditionalFormatting>
  <conditionalFormatting sqref="AC381:AC395">
    <cfRule type="containsText" dxfId="167" priority="193" operator="containsText" text="X">
      <formula>NOT(ISERROR(SEARCH("X",AC381)))</formula>
    </cfRule>
  </conditionalFormatting>
  <conditionalFormatting sqref="Z381:Z395">
    <cfRule type="containsText" dxfId="166" priority="194" operator="containsText" text="TEXTURA">
      <formula>NOT(ISERROR(SEARCH("TEXTURA",Z381)))</formula>
    </cfRule>
    <cfRule type="containsText" dxfId="165" priority="195" operator="containsText" text="EPÓXI">
      <formula>NOT(ISERROR(SEARCH("EPÓXI",Z381)))</formula>
    </cfRule>
  </conditionalFormatting>
  <conditionalFormatting sqref="T399:T424">
    <cfRule type="containsText" dxfId="164" priority="191" operator="containsText" text="X">
      <formula>NOT(ISERROR(SEARCH("X",T399)))</formula>
    </cfRule>
  </conditionalFormatting>
  <conditionalFormatting sqref="X399:X426">
    <cfRule type="containsText" dxfId="163" priority="189" operator="containsText" text="X">
      <formula>NOT(ISERROR(SEARCH("X",X399)))</formula>
    </cfRule>
  </conditionalFormatting>
  <conditionalFormatting sqref="V399:V426">
    <cfRule type="containsText" dxfId="162" priority="190" operator="containsText" text="X">
      <formula>NOT(ISERROR(SEARCH("X",V399)))</formula>
    </cfRule>
  </conditionalFormatting>
  <conditionalFormatting sqref="AA399:AA426">
    <cfRule type="containsText" dxfId="161" priority="188" operator="containsText" text="X">
      <formula>NOT(ISERROR(SEARCH("X",AA399)))</formula>
    </cfRule>
  </conditionalFormatting>
  <conditionalFormatting sqref="AE399:AE426">
    <cfRule type="containsText" dxfId="160" priority="184" operator="containsText" text="X">
      <formula>NOT(ISERROR(SEARCH("X",AE399)))</formula>
    </cfRule>
  </conditionalFormatting>
  <conditionalFormatting sqref="AC399:AC426">
    <cfRule type="containsText" dxfId="159" priority="185" operator="containsText" text="X">
      <formula>NOT(ISERROR(SEARCH("X",AC399)))</formula>
    </cfRule>
  </conditionalFormatting>
  <conditionalFormatting sqref="Z399:Z424">
    <cfRule type="containsText" dxfId="158" priority="186" operator="containsText" text="TEXTURA">
      <formula>NOT(ISERROR(SEARCH("TEXTURA",Z399)))</formula>
    </cfRule>
    <cfRule type="containsText" dxfId="157" priority="187" operator="containsText" text="EPÓXI">
      <formula>NOT(ISERROR(SEARCH("EPÓXI",Z399)))</formula>
    </cfRule>
  </conditionalFormatting>
  <conditionalFormatting sqref="T427:T453">
    <cfRule type="containsText" dxfId="156" priority="183" operator="containsText" text="X">
      <formula>NOT(ISERROR(SEARCH("X",T427)))</formula>
    </cfRule>
  </conditionalFormatting>
  <conditionalFormatting sqref="X427:X453">
    <cfRule type="containsText" dxfId="155" priority="181" operator="containsText" text="X">
      <formula>NOT(ISERROR(SEARCH("X",X427)))</formula>
    </cfRule>
  </conditionalFormatting>
  <conditionalFormatting sqref="V427:V453">
    <cfRule type="containsText" dxfId="154" priority="182" operator="containsText" text="X">
      <formula>NOT(ISERROR(SEARCH("X",V427)))</formula>
    </cfRule>
  </conditionalFormatting>
  <conditionalFormatting sqref="AA427:AA453">
    <cfRule type="containsText" dxfId="153" priority="180" operator="containsText" text="X">
      <formula>NOT(ISERROR(SEARCH("X",AA427)))</formula>
    </cfRule>
  </conditionalFormatting>
  <conditionalFormatting sqref="AE427:AE453">
    <cfRule type="containsText" dxfId="152" priority="176" operator="containsText" text="X">
      <formula>NOT(ISERROR(SEARCH("X",AE427)))</formula>
    </cfRule>
  </conditionalFormatting>
  <conditionalFormatting sqref="AC427:AC453">
    <cfRule type="containsText" dxfId="151" priority="177" operator="containsText" text="X">
      <formula>NOT(ISERROR(SEARCH("X",AC427)))</formula>
    </cfRule>
  </conditionalFormatting>
  <conditionalFormatting sqref="Z427:Z453">
    <cfRule type="containsText" dxfId="150" priority="178" operator="containsText" text="TEXTURA">
      <formula>NOT(ISERROR(SEARCH("TEXTURA",Z427)))</formula>
    </cfRule>
    <cfRule type="containsText" dxfId="149" priority="179" operator="containsText" text="EPÓXI">
      <formula>NOT(ISERROR(SEARCH("EPÓXI",Z427)))</formula>
    </cfRule>
  </conditionalFormatting>
  <conditionalFormatting sqref="T456:T477">
    <cfRule type="containsText" dxfId="148" priority="175" operator="containsText" text="X">
      <formula>NOT(ISERROR(SEARCH("X",T456)))</formula>
    </cfRule>
  </conditionalFormatting>
  <conditionalFormatting sqref="X456:X477">
    <cfRule type="containsText" dxfId="147" priority="173" operator="containsText" text="X">
      <formula>NOT(ISERROR(SEARCH("X",X456)))</formula>
    </cfRule>
  </conditionalFormatting>
  <conditionalFormatting sqref="V456:V477">
    <cfRule type="containsText" dxfId="146" priority="174" operator="containsText" text="X">
      <formula>NOT(ISERROR(SEARCH("X",V456)))</formula>
    </cfRule>
  </conditionalFormatting>
  <conditionalFormatting sqref="AA456:AA477">
    <cfRule type="containsText" dxfId="145" priority="172" operator="containsText" text="X">
      <formula>NOT(ISERROR(SEARCH("X",AA456)))</formula>
    </cfRule>
  </conditionalFormatting>
  <conditionalFormatting sqref="AE456:AE477">
    <cfRule type="containsText" dxfId="144" priority="168" operator="containsText" text="X">
      <formula>NOT(ISERROR(SEARCH("X",AE456)))</formula>
    </cfRule>
  </conditionalFormatting>
  <conditionalFormatting sqref="AC456:AC477">
    <cfRule type="containsText" dxfId="143" priority="169" operator="containsText" text="X">
      <formula>NOT(ISERROR(SEARCH("X",AC456)))</formula>
    </cfRule>
  </conditionalFormatting>
  <conditionalFormatting sqref="Z456:Z477">
    <cfRule type="containsText" dxfId="142" priority="170" operator="containsText" text="TEXTURA">
      <formula>NOT(ISERROR(SEARCH("TEXTURA",Z456)))</formula>
    </cfRule>
    <cfRule type="containsText" dxfId="141" priority="171" operator="containsText" text="EPÓXI">
      <formula>NOT(ISERROR(SEARCH("EPÓXI",Z456)))</formula>
    </cfRule>
  </conditionalFormatting>
  <conditionalFormatting sqref="T480:T501">
    <cfRule type="containsText" dxfId="140" priority="167" operator="containsText" text="X">
      <formula>NOT(ISERROR(SEARCH("X",T480)))</formula>
    </cfRule>
  </conditionalFormatting>
  <conditionalFormatting sqref="X480:X501">
    <cfRule type="containsText" dxfId="139" priority="165" operator="containsText" text="X">
      <formula>NOT(ISERROR(SEARCH("X",X480)))</formula>
    </cfRule>
  </conditionalFormatting>
  <conditionalFormatting sqref="V480:V501">
    <cfRule type="containsText" dxfId="138" priority="166" operator="containsText" text="X">
      <formula>NOT(ISERROR(SEARCH("X",V480)))</formula>
    </cfRule>
  </conditionalFormatting>
  <conditionalFormatting sqref="AA480:AA501">
    <cfRule type="containsText" dxfId="137" priority="164" operator="containsText" text="X">
      <formula>NOT(ISERROR(SEARCH("X",AA480)))</formula>
    </cfRule>
  </conditionalFormatting>
  <conditionalFormatting sqref="AE480:AE501">
    <cfRule type="containsText" dxfId="136" priority="160" operator="containsText" text="X">
      <formula>NOT(ISERROR(SEARCH("X",AE480)))</formula>
    </cfRule>
  </conditionalFormatting>
  <conditionalFormatting sqref="AC480:AC501">
    <cfRule type="containsText" dxfId="135" priority="161" operator="containsText" text="X">
      <formula>NOT(ISERROR(SEARCH("X",AC480)))</formula>
    </cfRule>
  </conditionalFormatting>
  <conditionalFormatting sqref="Z480:Z501">
    <cfRule type="containsText" dxfId="134" priority="162" operator="containsText" text="TEXTURA">
      <formula>NOT(ISERROR(SEARCH("TEXTURA",Z480)))</formula>
    </cfRule>
    <cfRule type="containsText" dxfId="133" priority="163" operator="containsText" text="EPÓXI">
      <formula>NOT(ISERROR(SEARCH("EPÓXI",Z480)))</formula>
    </cfRule>
  </conditionalFormatting>
  <conditionalFormatting sqref="T504:T523">
    <cfRule type="containsText" dxfId="132" priority="159" operator="containsText" text="X">
      <formula>NOT(ISERROR(SEARCH("X",T504)))</formula>
    </cfRule>
  </conditionalFormatting>
  <conditionalFormatting sqref="X504:X523">
    <cfRule type="containsText" dxfId="131" priority="157" operator="containsText" text="X">
      <formula>NOT(ISERROR(SEARCH("X",X504)))</formula>
    </cfRule>
  </conditionalFormatting>
  <conditionalFormatting sqref="V504:V523">
    <cfRule type="containsText" dxfId="130" priority="158" operator="containsText" text="X">
      <formula>NOT(ISERROR(SEARCH("X",V504)))</formula>
    </cfRule>
  </conditionalFormatting>
  <conditionalFormatting sqref="AA504:AA523">
    <cfRule type="containsText" dxfId="129" priority="156" operator="containsText" text="X">
      <formula>NOT(ISERROR(SEARCH("X",AA504)))</formula>
    </cfRule>
  </conditionalFormatting>
  <conditionalFormatting sqref="AE504:AE523">
    <cfRule type="containsText" dxfId="128" priority="152" operator="containsText" text="X">
      <formula>NOT(ISERROR(SEARCH("X",AE504)))</formula>
    </cfRule>
  </conditionalFormatting>
  <conditionalFormatting sqref="AC504:AC523">
    <cfRule type="containsText" dxfId="127" priority="153" operator="containsText" text="X">
      <formula>NOT(ISERROR(SEARCH("X",AC504)))</formula>
    </cfRule>
  </conditionalFormatting>
  <conditionalFormatting sqref="Z504:Z523">
    <cfRule type="containsText" dxfId="126" priority="154" operator="containsText" text="TEXTURA">
      <formula>NOT(ISERROR(SEARCH("TEXTURA",Z504)))</formula>
    </cfRule>
    <cfRule type="containsText" dxfId="125" priority="155" operator="containsText" text="EPÓXI">
      <formula>NOT(ISERROR(SEARCH("EPÓXI",Z504)))</formula>
    </cfRule>
  </conditionalFormatting>
  <conditionalFormatting sqref="T527:T552">
    <cfRule type="containsText" dxfId="124" priority="151" operator="containsText" text="X">
      <formula>NOT(ISERROR(SEARCH("X",T527)))</formula>
    </cfRule>
  </conditionalFormatting>
  <conditionalFormatting sqref="X527:X552">
    <cfRule type="containsText" dxfId="123" priority="149" operator="containsText" text="X">
      <formula>NOT(ISERROR(SEARCH("X",X527)))</formula>
    </cfRule>
  </conditionalFormatting>
  <conditionalFormatting sqref="V527:V552">
    <cfRule type="containsText" dxfId="122" priority="150" operator="containsText" text="X">
      <formula>NOT(ISERROR(SEARCH("X",V527)))</formula>
    </cfRule>
  </conditionalFormatting>
  <conditionalFormatting sqref="AA527:AA552">
    <cfRule type="containsText" dxfId="121" priority="148" operator="containsText" text="X">
      <formula>NOT(ISERROR(SEARCH("X",AA527)))</formula>
    </cfRule>
  </conditionalFormatting>
  <conditionalFormatting sqref="AE527:AE552">
    <cfRule type="containsText" dxfId="120" priority="144" operator="containsText" text="X">
      <formula>NOT(ISERROR(SEARCH("X",AE527)))</formula>
    </cfRule>
  </conditionalFormatting>
  <conditionalFormatting sqref="AC527:AC552">
    <cfRule type="containsText" dxfId="119" priority="145" operator="containsText" text="X">
      <formula>NOT(ISERROR(SEARCH("X",AC527)))</formula>
    </cfRule>
  </conditionalFormatting>
  <conditionalFormatting sqref="Z527:Z552">
    <cfRule type="containsText" dxfId="118" priority="146" operator="containsText" text="TEXTURA">
      <formula>NOT(ISERROR(SEARCH("TEXTURA",Z527)))</formula>
    </cfRule>
    <cfRule type="containsText" dxfId="117" priority="147" operator="containsText" text="EPÓXI">
      <formula>NOT(ISERROR(SEARCH("EPÓXI",Z527)))</formula>
    </cfRule>
  </conditionalFormatting>
  <conditionalFormatting sqref="T555:T581">
    <cfRule type="containsText" dxfId="116" priority="143" operator="containsText" text="X">
      <formula>NOT(ISERROR(SEARCH("X",T555)))</formula>
    </cfRule>
  </conditionalFormatting>
  <conditionalFormatting sqref="X555:X581">
    <cfRule type="containsText" dxfId="115" priority="141" operator="containsText" text="X">
      <formula>NOT(ISERROR(SEARCH("X",X555)))</formula>
    </cfRule>
  </conditionalFormatting>
  <conditionalFormatting sqref="V555:V581">
    <cfRule type="containsText" dxfId="114" priority="142" operator="containsText" text="X">
      <formula>NOT(ISERROR(SEARCH("X",V555)))</formula>
    </cfRule>
  </conditionalFormatting>
  <conditionalFormatting sqref="AA555:AA581">
    <cfRule type="containsText" dxfId="113" priority="140" operator="containsText" text="X">
      <formula>NOT(ISERROR(SEARCH("X",AA555)))</formula>
    </cfRule>
  </conditionalFormatting>
  <conditionalFormatting sqref="AE555:AE581">
    <cfRule type="containsText" dxfId="112" priority="136" operator="containsText" text="X">
      <formula>NOT(ISERROR(SEARCH("X",AE555)))</formula>
    </cfRule>
  </conditionalFormatting>
  <conditionalFormatting sqref="AC555:AC581">
    <cfRule type="containsText" dxfId="111" priority="137" operator="containsText" text="X">
      <formula>NOT(ISERROR(SEARCH("X",AC555)))</formula>
    </cfRule>
  </conditionalFormatting>
  <conditionalFormatting sqref="Z555:Z581">
    <cfRule type="containsText" dxfId="110" priority="138" operator="containsText" text="TEXTURA">
      <formula>NOT(ISERROR(SEARCH("TEXTURA",Z555)))</formula>
    </cfRule>
    <cfRule type="containsText" dxfId="109" priority="139" operator="containsText" text="EPÓXI">
      <formula>NOT(ISERROR(SEARCH("EPÓXI",Z555)))</formula>
    </cfRule>
  </conditionalFormatting>
  <conditionalFormatting sqref="T584:T605">
    <cfRule type="containsText" dxfId="108" priority="135" operator="containsText" text="X">
      <formula>NOT(ISERROR(SEARCH("X",T584)))</formula>
    </cfRule>
  </conditionalFormatting>
  <conditionalFormatting sqref="X584:X605">
    <cfRule type="containsText" dxfId="107" priority="133" operator="containsText" text="X">
      <formula>NOT(ISERROR(SEARCH("X",X584)))</formula>
    </cfRule>
  </conditionalFormatting>
  <conditionalFormatting sqref="V584:V605">
    <cfRule type="containsText" dxfId="106" priority="134" operator="containsText" text="X">
      <formula>NOT(ISERROR(SEARCH("X",V584)))</formula>
    </cfRule>
  </conditionalFormatting>
  <conditionalFormatting sqref="AA584:AA605">
    <cfRule type="containsText" dxfId="105" priority="132" operator="containsText" text="X">
      <formula>NOT(ISERROR(SEARCH("X",AA584)))</formula>
    </cfRule>
  </conditionalFormatting>
  <conditionalFormatting sqref="AE584:AE605">
    <cfRule type="containsText" dxfId="104" priority="128" operator="containsText" text="X">
      <formula>NOT(ISERROR(SEARCH("X",AE584)))</formula>
    </cfRule>
  </conditionalFormatting>
  <conditionalFormatting sqref="AC584:AC605">
    <cfRule type="containsText" dxfId="103" priority="129" operator="containsText" text="X">
      <formula>NOT(ISERROR(SEARCH("X",AC584)))</formula>
    </cfRule>
  </conditionalFormatting>
  <conditionalFormatting sqref="Z584:Z605">
    <cfRule type="containsText" dxfId="102" priority="130" operator="containsText" text="TEXTURA">
      <formula>NOT(ISERROR(SEARCH("TEXTURA",Z584)))</formula>
    </cfRule>
    <cfRule type="containsText" dxfId="101" priority="131" operator="containsText" text="EPÓXI">
      <formula>NOT(ISERROR(SEARCH("EPÓXI",Z584)))</formula>
    </cfRule>
  </conditionalFormatting>
  <conditionalFormatting sqref="T608:T629">
    <cfRule type="containsText" dxfId="100" priority="127" operator="containsText" text="X">
      <formula>NOT(ISERROR(SEARCH("X",T608)))</formula>
    </cfRule>
  </conditionalFormatting>
  <conditionalFormatting sqref="X608:X629">
    <cfRule type="containsText" dxfId="99" priority="125" operator="containsText" text="X">
      <formula>NOT(ISERROR(SEARCH("X",X608)))</formula>
    </cfRule>
  </conditionalFormatting>
  <conditionalFormatting sqref="V608:V629">
    <cfRule type="containsText" dxfId="98" priority="126" operator="containsText" text="X">
      <formula>NOT(ISERROR(SEARCH("X",V608)))</formula>
    </cfRule>
  </conditionalFormatting>
  <conditionalFormatting sqref="AA608:AA629">
    <cfRule type="containsText" dxfId="97" priority="124" operator="containsText" text="X">
      <formula>NOT(ISERROR(SEARCH("X",AA608)))</formula>
    </cfRule>
  </conditionalFormatting>
  <conditionalFormatting sqref="AE608:AE629">
    <cfRule type="containsText" dxfId="96" priority="120" operator="containsText" text="X">
      <formula>NOT(ISERROR(SEARCH("X",AE608)))</formula>
    </cfRule>
  </conditionalFormatting>
  <conditionalFormatting sqref="AC608:AC629">
    <cfRule type="containsText" dxfId="95" priority="121" operator="containsText" text="X">
      <formula>NOT(ISERROR(SEARCH("X",AC608)))</formula>
    </cfRule>
  </conditionalFormatting>
  <conditionalFormatting sqref="Z608:Z629">
    <cfRule type="containsText" dxfId="94" priority="122" operator="containsText" text="TEXTURA">
      <formula>NOT(ISERROR(SEARCH("TEXTURA",Z608)))</formula>
    </cfRule>
    <cfRule type="containsText" dxfId="93" priority="123" operator="containsText" text="EPÓXI">
      <formula>NOT(ISERROR(SEARCH("EPÓXI",Z608)))</formula>
    </cfRule>
  </conditionalFormatting>
  <conditionalFormatting sqref="T633">
    <cfRule type="containsText" dxfId="92" priority="119" operator="containsText" text="X">
      <formula>NOT(ISERROR(SEARCH("X",T633)))</formula>
    </cfRule>
  </conditionalFormatting>
  <conditionalFormatting sqref="X633">
    <cfRule type="containsText" dxfId="91" priority="117" operator="containsText" text="X">
      <formula>NOT(ISERROR(SEARCH("X",X633)))</formula>
    </cfRule>
  </conditionalFormatting>
  <conditionalFormatting sqref="V633">
    <cfRule type="containsText" dxfId="90" priority="118" operator="containsText" text="X">
      <formula>NOT(ISERROR(SEARCH("X",V633)))</formula>
    </cfRule>
  </conditionalFormatting>
  <conditionalFormatting sqref="AA633">
    <cfRule type="containsText" dxfId="89" priority="116" operator="containsText" text="X">
      <formula>NOT(ISERROR(SEARCH("X",AA633)))</formula>
    </cfRule>
  </conditionalFormatting>
  <conditionalFormatting sqref="AE633">
    <cfRule type="containsText" dxfId="88" priority="112" operator="containsText" text="X">
      <formula>NOT(ISERROR(SEARCH("X",AE633)))</formula>
    </cfRule>
  </conditionalFormatting>
  <conditionalFormatting sqref="AC633">
    <cfRule type="containsText" dxfId="87" priority="113" operator="containsText" text="X">
      <formula>NOT(ISERROR(SEARCH("X",AC633)))</formula>
    </cfRule>
  </conditionalFormatting>
  <conditionalFormatting sqref="Z633">
    <cfRule type="containsText" dxfId="86" priority="114" operator="containsText" text="TEXTURA">
      <formula>NOT(ISERROR(SEARCH("TEXTURA",Z633)))</formula>
    </cfRule>
    <cfRule type="containsText" dxfId="85" priority="115" operator="containsText" text="EPÓXI">
      <formula>NOT(ISERROR(SEARCH("EPÓXI",Z633)))</formula>
    </cfRule>
  </conditionalFormatting>
  <conditionalFormatting sqref="T637">
    <cfRule type="containsText" dxfId="84" priority="111" operator="containsText" text="X">
      <formula>NOT(ISERROR(SEARCH("X",T637)))</formula>
    </cfRule>
  </conditionalFormatting>
  <conditionalFormatting sqref="X637">
    <cfRule type="containsText" dxfId="83" priority="109" operator="containsText" text="X">
      <formula>NOT(ISERROR(SEARCH("X",X637)))</formula>
    </cfRule>
  </conditionalFormatting>
  <conditionalFormatting sqref="V637">
    <cfRule type="containsText" dxfId="82" priority="110" operator="containsText" text="X">
      <formula>NOT(ISERROR(SEARCH("X",V637)))</formula>
    </cfRule>
  </conditionalFormatting>
  <conditionalFormatting sqref="AA637">
    <cfRule type="containsText" dxfId="81" priority="108" operator="containsText" text="X">
      <formula>NOT(ISERROR(SEARCH("X",AA637)))</formula>
    </cfRule>
  </conditionalFormatting>
  <conditionalFormatting sqref="AE637">
    <cfRule type="containsText" dxfId="80" priority="104" operator="containsText" text="X">
      <formula>NOT(ISERROR(SEARCH("X",AE637)))</formula>
    </cfRule>
  </conditionalFormatting>
  <conditionalFormatting sqref="AC637">
    <cfRule type="containsText" dxfId="79" priority="105" operator="containsText" text="X">
      <formula>NOT(ISERROR(SEARCH("X",AC637)))</formula>
    </cfRule>
  </conditionalFormatting>
  <conditionalFormatting sqref="Z637">
    <cfRule type="containsText" dxfId="78" priority="106" operator="containsText" text="TEXTURA">
      <formula>NOT(ISERROR(SEARCH("TEXTURA",Z637)))</formula>
    </cfRule>
    <cfRule type="containsText" dxfId="77" priority="107" operator="containsText" text="EPÓXI">
      <formula>NOT(ISERROR(SEARCH("EPÓXI",Z637)))</formula>
    </cfRule>
  </conditionalFormatting>
  <conditionalFormatting sqref="T641">
    <cfRule type="containsText" dxfId="76" priority="103" operator="containsText" text="X">
      <formula>NOT(ISERROR(SEARCH("X",T641)))</formula>
    </cfRule>
  </conditionalFormatting>
  <conditionalFormatting sqref="X641">
    <cfRule type="containsText" dxfId="75" priority="101" operator="containsText" text="X">
      <formula>NOT(ISERROR(SEARCH("X",X641)))</formula>
    </cfRule>
  </conditionalFormatting>
  <conditionalFormatting sqref="V641">
    <cfRule type="containsText" dxfId="74" priority="102" operator="containsText" text="X">
      <formula>NOT(ISERROR(SEARCH("X",V641)))</formula>
    </cfRule>
  </conditionalFormatting>
  <conditionalFormatting sqref="AA641">
    <cfRule type="containsText" dxfId="73" priority="100" operator="containsText" text="X">
      <formula>NOT(ISERROR(SEARCH("X",AA641)))</formula>
    </cfRule>
  </conditionalFormatting>
  <conditionalFormatting sqref="AE641">
    <cfRule type="containsText" dxfId="72" priority="96" operator="containsText" text="X">
      <formula>NOT(ISERROR(SEARCH("X",AE641)))</formula>
    </cfRule>
  </conditionalFormatting>
  <conditionalFormatting sqref="AC641">
    <cfRule type="containsText" dxfId="71" priority="97" operator="containsText" text="X">
      <formula>NOT(ISERROR(SEARCH("X",AC641)))</formula>
    </cfRule>
  </conditionalFormatting>
  <conditionalFormatting sqref="Z641">
    <cfRule type="containsText" dxfId="70" priority="98" operator="containsText" text="TEXTURA">
      <formula>NOT(ISERROR(SEARCH("TEXTURA",Z641)))</formula>
    </cfRule>
    <cfRule type="containsText" dxfId="69" priority="99" operator="containsText" text="EPÓXI">
      <formula>NOT(ISERROR(SEARCH("EPÓXI",Z641)))</formula>
    </cfRule>
  </conditionalFormatting>
  <conditionalFormatting sqref="T645:T648">
    <cfRule type="containsText" dxfId="68" priority="95" operator="containsText" text="X">
      <formula>NOT(ISERROR(SEARCH("X",T645)))</formula>
    </cfRule>
  </conditionalFormatting>
  <conditionalFormatting sqref="X645:X649">
    <cfRule type="containsText" dxfId="67" priority="93" operator="containsText" text="X">
      <formula>NOT(ISERROR(SEARCH("X",X645)))</formula>
    </cfRule>
  </conditionalFormatting>
  <conditionalFormatting sqref="V645:V649">
    <cfRule type="containsText" dxfId="66" priority="94" operator="containsText" text="X">
      <formula>NOT(ISERROR(SEARCH("X",V645)))</formula>
    </cfRule>
  </conditionalFormatting>
  <conditionalFormatting sqref="AA645:AA649">
    <cfRule type="containsText" dxfId="65" priority="92" operator="containsText" text="X">
      <formula>NOT(ISERROR(SEARCH("X",AA645)))</formula>
    </cfRule>
  </conditionalFormatting>
  <conditionalFormatting sqref="AE645:AE649">
    <cfRule type="containsText" dxfId="64" priority="88" operator="containsText" text="X">
      <formula>NOT(ISERROR(SEARCH("X",AE645)))</formula>
    </cfRule>
  </conditionalFormatting>
  <conditionalFormatting sqref="AC645:AC649">
    <cfRule type="containsText" dxfId="63" priority="89" operator="containsText" text="X">
      <formula>NOT(ISERROR(SEARCH("X",AC645)))</formula>
    </cfRule>
  </conditionalFormatting>
  <conditionalFormatting sqref="Z645:Z648">
    <cfRule type="containsText" dxfId="62" priority="90" operator="containsText" text="TEXTURA">
      <formula>NOT(ISERROR(SEARCH("TEXTURA",Z645)))</formula>
    </cfRule>
    <cfRule type="containsText" dxfId="61" priority="91" operator="containsText" text="EPÓXI">
      <formula>NOT(ISERROR(SEARCH("EPÓXI",Z645)))</formula>
    </cfRule>
  </conditionalFormatting>
  <conditionalFormatting sqref="AG642 AG638 AG634">
    <cfRule type="containsText" dxfId="60" priority="87" operator="containsText" text="X">
      <formula>NOT(ISERROR(SEARCH("X",AG634)))</formula>
    </cfRule>
  </conditionalFormatting>
  <conditionalFormatting sqref="AG38">
    <cfRule type="containsText" dxfId="59" priority="86" operator="containsText" text="X">
      <formula>NOT(ISERROR(SEARCH("X",AG38)))</formula>
    </cfRule>
  </conditionalFormatting>
  <conditionalFormatting sqref="AG51">
    <cfRule type="containsText" dxfId="58" priority="85" operator="containsText" text="X">
      <formula>NOT(ISERROR(SEARCH("X",AG51)))</formula>
    </cfRule>
  </conditionalFormatting>
  <conditionalFormatting sqref="AG79">
    <cfRule type="containsText" dxfId="57" priority="84" operator="containsText" text="X">
      <formula>NOT(ISERROR(SEARCH("X",AG79)))</formula>
    </cfRule>
  </conditionalFormatting>
  <conditionalFormatting sqref="AG125">
    <cfRule type="containsText" dxfId="56" priority="83" operator="containsText" text="X">
      <formula>NOT(ISERROR(SEARCH("X",AG125)))</formula>
    </cfRule>
  </conditionalFormatting>
  <conditionalFormatting sqref="AG128">
    <cfRule type="containsText" dxfId="55" priority="82" operator="containsText" text="X">
      <formula>NOT(ISERROR(SEARCH("X",AG128)))</formula>
    </cfRule>
  </conditionalFormatting>
  <conditionalFormatting sqref="AG187">
    <cfRule type="containsText" dxfId="54" priority="81" operator="containsText" text="X">
      <formula>NOT(ISERROR(SEARCH("X",AG187)))</formula>
    </cfRule>
  </conditionalFormatting>
  <conditionalFormatting sqref="AG223">
    <cfRule type="containsText" dxfId="53" priority="80" operator="containsText" text="X">
      <formula>NOT(ISERROR(SEARCH("X",AG223)))</formula>
    </cfRule>
  </conditionalFormatting>
  <conditionalFormatting sqref="AG255">
    <cfRule type="containsText" dxfId="52" priority="79" operator="containsText" text="X">
      <formula>NOT(ISERROR(SEARCH("X",AG255)))</formula>
    </cfRule>
  </conditionalFormatting>
  <conditionalFormatting sqref="AG284">
    <cfRule type="containsText" dxfId="51" priority="78" operator="containsText" text="X">
      <formula>NOT(ISERROR(SEARCH("X",AG284)))</formula>
    </cfRule>
  </conditionalFormatting>
  <conditionalFormatting sqref="AG321">
    <cfRule type="containsText" dxfId="50" priority="77" operator="containsText" text="X">
      <formula>NOT(ISERROR(SEARCH("X",AG321)))</formula>
    </cfRule>
  </conditionalFormatting>
  <conditionalFormatting sqref="AG342">
    <cfRule type="containsText" dxfId="49" priority="76" operator="containsText" text="X">
      <formula>NOT(ISERROR(SEARCH("X",AG342)))</formula>
    </cfRule>
  </conditionalFormatting>
  <conditionalFormatting sqref="AG352">
    <cfRule type="containsText" dxfId="48" priority="75" operator="containsText" text="X">
      <formula>NOT(ISERROR(SEARCH("X",AG352)))</formula>
    </cfRule>
  </conditionalFormatting>
  <conditionalFormatting sqref="AG358">
    <cfRule type="containsText" dxfId="47" priority="74" operator="containsText" text="X">
      <formula>NOT(ISERROR(SEARCH("X",AG358)))</formula>
    </cfRule>
  </conditionalFormatting>
  <conditionalFormatting sqref="AG375">
    <cfRule type="containsText" dxfId="46" priority="73" operator="containsText" text="X">
      <formula>NOT(ISERROR(SEARCH("X",AG375)))</formula>
    </cfRule>
  </conditionalFormatting>
  <conditionalFormatting sqref="AG379">
    <cfRule type="containsText" dxfId="45" priority="72" operator="containsText" text="X">
      <formula>NOT(ISERROR(SEARCH("X",AG379)))</formula>
    </cfRule>
  </conditionalFormatting>
  <conditionalFormatting sqref="AG396">
    <cfRule type="containsText" dxfId="44" priority="71" operator="containsText" text="X">
      <formula>NOT(ISERROR(SEARCH("X",AG396)))</formula>
    </cfRule>
  </conditionalFormatting>
  <conditionalFormatting sqref="AG425">
    <cfRule type="containsText" dxfId="43" priority="70" operator="containsText" text="X">
      <formula>NOT(ISERROR(SEARCH("X",AG425)))</formula>
    </cfRule>
  </conditionalFormatting>
  <conditionalFormatting sqref="AG454">
    <cfRule type="containsText" dxfId="42" priority="69" operator="containsText" text="X">
      <formula>NOT(ISERROR(SEARCH("X",AG454)))</formula>
    </cfRule>
  </conditionalFormatting>
  <conditionalFormatting sqref="AG478">
    <cfRule type="containsText" dxfId="41" priority="68" operator="containsText" text="X">
      <formula>NOT(ISERROR(SEARCH("X",AG478)))</formula>
    </cfRule>
  </conditionalFormatting>
  <conditionalFormatting sqref="AG502">
    <cfRule type="containsText" dxfId="40" priority="67" operator="containsText" text="X">
      <formula>NOT(ISERROR(SEARCH("X",AG502)))</formula>
    </cfRule>
  </conditionalFormatting>
  <conditionalFormatting sqref="AG524">
    <cfRule type="containsText" dxfId="39" priority="66" operator="containsText" text="X">
      <formula>NOT(ISERROR(SEARCH("X",AG524)))</formula>
    </cfRule>
  </conditionalFormatting>
  <conditionalFormatting sqref="AG635">
    <cfRule type="containsText" dxfId="38" priority="65" operator="containsText" text="X">
      <formula>NOT(ISERROR(SEARCH("X",AG635)))</formula>
    </cfRule>
  </conditionalFormatting>
  <conditionalFormatting sqref="AG639">
    <cfRule type="containsText" dxfId="37" priority="64" operator="containsText" text="X">
      <formula>NOT(ISERROR(SEARCH("X",AG639)))</formula>
    </cfRule>
  </conditionalFormatting>
  <conditionalFormatting sqref="AG13:AG37">
    <cfRule type="containsText" dxfId="36" priority="56" operator="containsText" text="X">
      <formula>NOT(ISERROR(SEARCH("X",AG13)))</formula>
    </cfRule>
  </conditionalFormatting>
  <conditionalFormatting sqref="AG553">
    <cfRule type="containsText" dxfId="35" priority="62" operator="containsText" text="X">
      <formula>NOT(ISERROR(SEARCH("X",AG553)))</formula>
    </cfRule>
  </conditionalFormatting>
  <conditionalFormatting sqref="AG582">
    <cfRule type="containsText" dxfId="34" priority="61" operator="containsText" text="X">
      <formula>NOT(ISERROR(SEARCH("X",AG582)))</formula>
    </cfRule>
  </conditionalFormatting>
  <conditionalFormatting sqref="AG606">
    <cfRule type="containsText" dxfId="33" priority="60" operator="containsText" text="X">
      <formula>NOT(ISERROR(SEARCH("X",AG606)))</formula>
    </cfRule>
  </conditionalFormatting>
  <conditionalFormatting sqref="AG630">
    <cfRule type="containsText" dxfId="32" priority="59" operator="containsText" text="X">
      <formula>NOT(ISERROR(SEARCH("X",AG630)))</formula>
    </cfRule>
  </conditionalFormatting>
  <conditionalFormatting sqref="AG643">
    <cfRule type="containsText" dxfId="31" priority="58" operator="containsText" text="X">
      <formula>NOT(ISERROR(SEARCH("X",AG643)))</formula>
    </cfRule>
  </conditionalFormatting>
  <conditionalFormatting sqref="AG649">
    <cfRule type="containsText" dxfId="30" priority="57" operator="containsText" text="X">
      <formula>NOT(ISERROR(SEARCH("X",AG649)))</formula>
    </cfRule>
  </conditionalFormatting>
  <conditionalFormatting sqref="AG630:AG631">
    <cfRule type="containsText" dxfId="29" priority="54" operator="containsText" text="X">
      <formula>NOT(ISERROR(SEARCH("X",AG630)))</formula>
    </cfRule>
  </conditionalFormatting>
  <conditionalFormatting sqref="AG425:AG426">
    <cfRule type="containsText" dxfId="28" priority="38" operator="containsText" text="X">
      <formula>NOT(ISERROR(SEARCH("X",AG425)))</formula>
    </cfRule>
  </conditionalFormatting>
  <conditionalFormatting sqref="AG637">
    <cfRule type="containsText" dxfId="27" priority="28" operator="containsText" text="X">
      <formula>NOT(ISERROR(SEARCH("X",AG637)))</formula>
    </cfRule>
  </conditionalFormatting>
  <conditionalFormatting sqref="AG641">
    <cfRule type="containsText" dxfId="26" priority="27" operator="containsText" text="X">
      <formula>NOT(ISERROR(SEARCH("X",AG641)))</formula>
    </cfRule>
  </conditionalFormatting>
  <conditionalFormatting sqref="AG645:AG649">
    <cfRule type="containsText" dxfId="25" priority="26" operator="containsText" text="X">
      <formula>NOT(ISERROR(SEARCH("X",AG645)))</formula>
    </cfRule>
  </conditionalFormatting>
  <conditionalFormatting sqref="AG40:AG50">
    <cfRule type="containsText" dxfId="24" priority="25" operator="containsText" text="X">
      <formula>NOT(ISERROR(SEARCH("X",AG40)))</formula>
    </cfRule>
  </conditionalFormatting>
  <conditionalFormatting sqref="AG53:AG78">
    <cfRule type="containsText" dxfId="23" priority="24" operator="containsText" text="X">
      <formula>NOT(ISERROR(SEARCH("X",AG53)))</formula>
    </cfRule>
  </conditionalFormatting>
  <conditionalFormatting sqref="AG81:AG124">
    <cfRule type="containsText" dxfId="22" priority="23" operator="containsText" text="X">
      <formula>NOT(ISERROR(SEARCH("X",AG81)))</formula>
    </cfRule>
  </conditionalFormatting>
  <conditionalFormatting sqref="AG127">
    <cfRule type="containsText" dxfId="21" priority="22" operator="containsText" text="X">
      <formula>NOT(ISERROR(SEARCH("X",AG127)))</formula>
    </cfRule>
  </conditionalFormatting>
  <conditionalFormatting sqref="AG130:AG186">
    <cfRule type="containsText" dxfId="20" priority="21" operator="containsText" text="X">
      <formula>NOT(ISERROR(SEARCH("X",AG130)))</formula>
    </cfRule>
  </conditionalFormatting>
  <conditionalFormatting sqref="AG189:AG222">
    <cfRule type="containsText" dxfId="19" priority="20" operator="containsText" text="X">
      <formula>NOT(ISERROR(SEARCH("X",AG189)))</formula>
    </cfRule>
  </conditionalFormatting>
  <conditionalFormatting sqref="AG225:AG254">
    <cfRule type="containsText" dxfId="18" priority="19" operator="containsText" text="X">
      <formula>NOT(ISERROR(SEARCH("X",AG225)))</formula>
    </cfRule>
  </conditionalFormatting>
  <conditionalFormatting sqref="AG257:AG283">
    <cfRule type="containsText" dxfId="17" priority="18" operator="containsText" text="X">
      <formula>NOT(ISERROR(SEARCH("X",AG257)))</formula>
    </cfRule>
  </conditionalFormatting>
  <conditionalFormatting sqref="AG286:AG320">
    <cfRule type="containsText" dxfId="16" priority="17" operator="containsText" text="X">
      <formula>NOT(ISERROR(SEARCH("X",AG286)))</formula>
    </cfRule>
  </conditionalFormatting>
  <conditionalFormatting sqref="AG323:AG341">
    <cfRule type="containsText" dxfId="15" priority="16" operator="containsText" text="X">
      <formula>NOT(ISERROR(SEARCH("X",AG323)))</formula>
    </cfRule>
  </conditionalFormatting>
  <conditionalFormatting sqref="AG344:AG351">
    <cfRule type="containsText" dxfId="14" priority="15" operator="containsText" text="X">
      <formula>NOT(ISERROR(SEARCH("X",AG344)))</formula>
    </cfRule>
  </conditionalFormatting>
  <conditionalFormatting sqref="AG354:AG357">
    <cfRule type="containsText" dxfId="13" priority="14" operator="containsText" text="X">
      <formula>NOT(ISERROR(SEARCH("X",AG354)))</formula>
    </cfRule>
  </conditionalFormatting>
  <conditionalFormatting sqref="AG361:AG374">
    <cfRule type="containsText" dxfId="12" priority="13" operator="containsText" text="X">
      <formula>NOT(ISERROR(SEARCH("X",AG361)))</formula>
    </cfRule>
  </conditionalFormatting>
  <conditionalFormatting sqref="AG377:AG378">
    <cfRule type="containsText" dxfId="11" priority="12" operator="containsText" text="X">
      <formula>NOT(ISERROR(SEARCH("X",AG377)))</formula>
    </cfRule>
  </conditionalFormatting>
  <conditionalFormatting sqref="AG381:AG395">
    <cfRule type="containsText" dxfId="10" priority="11" operator="containsText" text="X">
      <formula>NOT(ISERROR(SEARCH("X",AG381)))</formula>
    </cfRule>
  </conditionalFormatting>
  <conditionalFormatting sqref="AG399:AG424">
    <cfRule type="containsText" dxfId="9" priority="10" operator="containsText" text="X">
      <formula>NOT(ISERROR(SEARCH("X",AG399)))</formula>
    </cfRule>
  </conditionalFormatting>
  <conditionalFormatting sqref="AG427:AG453">
    <cfRule type="containsText" dxfId="8" priority="9" operator="containsText" text="X">
      <formula>NOT(ISERROR(SEARCH("X",AG427)))</formula>
    </cfRule>
  </conditionalFormatting>
  <conditionalFormatting sqref="AG456:AG477">
    <cfRule type="containsText" dxfId="7" priority="8" operator="containsText" text="X">
      <formula>NOT(ISERROR(SEARCH("X",AG456)))</formula>
    </cfRule>
  </conditionalFormatting>
  <conditionalFormatting sqref="AG480:AG501">
    <cfRule type="containsText" dxfId="6" priority="7" operator="containsText" text="X">
      <formula>NOT(ISERROR(SEARCH("X",AG480)))</formula>
    </cfRule>
  </conditionalFormatting>
  <conditionalFormatting sqref="AG504:AG523">
    <cfRule type="containsText" dxfId="5" priority="6" operator="containsText" text="X">
      <formula>NOT(ISERROR(SEARCH("X",AG504)))</formula>
    </cfRule>
  </conditionalFormatting>
  <conditionalFormatting sqref="AG527:AG552">
    <cfRule type="containsText" dxfId="4" priority="5" operator="containsText" text="X">
      <formula>NOT(ISERROR(SEARCH("X",AG527)))</formula>
    </cfRule>
  </conditionalFormatting>
  <conditionalFormatting sqref="AG555:AG581">
    <cfRule type="containsText" dxfId="3" priority="4" operator="containsText" text="X">
      <formula>NOT(ISERROR(SEARCH("X",AG555)))</formula>
    </cfRule>
  </conditionalFormatting>
  <conditionalFormatting sqref="AG584:AG605">
    <cfRule type="containsText" dxfId="2" priority="3" operator="containsText" text="X">
      <formula>NOT(ISERROR(SEARCH("X",AG584)))</formula>
    </cfRule>
  </conditionalFormatting>
  <conditionalFormatting sqref="AG608:AG629">
    <cfRule type="containsText" dxfId="1" priority="2" operator="containsText" text="X">
      <formula>NOT(ISERROR(SEARCH("X",AG608)))</formula>
    </cfRule>
  </conditionalFormatting>
  <conditionalFormatting sqref="AG633">
    <cfRule type="containsText" dxfId="0" priority="1" operator="containsText" text="X">
      <formula>NOT(ISERROR(SEARCH("X",AG633)))</formula>
    </cfRule>
  </conditionalFormatting>
  <dataValidations disablePrompts="1" count="2">
    <dataValidation type="list" allowBlank="1" showInputMessage="1" showErrorMessage="1" sqref="S645:S648 S40:S50 S637 S633 S608:S629 S584:S605 S555:S581 S527:S552 S504:S523 S480:S501 S456:S477 S427:S453 S399:S424 S381:S395 S377:S378 S361:S374 S354:S356 S344:S351 S323:S341 S286:S320 S257:S283 S225:S254 S189:S222 S130:S186 S127 S81:S124 S53:S78 S641 S13:S37">
      <formula1>"ACRÍLICA,EPÓXI,TEXTURA,REVEST."</formula1>
    </dataValidation>
    <dataValidation type="list" allowBlank="1" showInputMessage="1" showErrorMessage="1" sqref="Z13:Z37 Z40:Z50 Z53:Z78 Z645:Z648 Z127 Z81:Z124 Z189:Z222 Z225:Z254 Z257:Z283 Z130:Z186 Z323:Z341 Z286:Z320 Z354:Z356 Z361:Z374 Z377:Z378 Z381:Z395 Z399:Z424 Z427:Z453 Z456:Z477 Z480:Z501 Z504:Z523 Z527:Z552 Z555:Z581 Z584:Z605 Z608:Z629 Z633 Z637 Z641 Z344:Z351">
      <formula1>"ACARTONADO,MINERAL,LAJE"</formula1>
    </dataValidation>
  </dataValidations>
  <pageMargins left="0.51181102362204722" right="0.51181102362204722" top="0.78740157480314965" bottom="0.78740157480314965" header="0.31496062992125984" footer="0.31496062992125984"/>
  <pageSetup paperSize="9" scale="40" orientation="landscape" verticalDpi="0" r:id="rId1"/>
  <ignoredErrors>
    <ignoredError sqref="V13:X37 V40:X50 AD13 AC14:AE37 AC13 AE13 AC40:AE50 V53:X78 AC53:AE78 V81:X124 AC81:AE124 V127:X128 AC127:AE127 V130:X186 AC130:AE186 V189:X222 AC189:AE222 V225:X254 AC225:AE254 V257:X283 AC257:AE283 V286:X320 AC286:AE320 V323:X341 AC323:AE341 V344:X351 AC344:AE351 V354:X356 AC354:AE356 V361:X374 AC361:AE374 V377:X378 AC377:AE378 V381:X395 AC381:AE395 V399:X424 AC399:AE424 V427:X453 AC427:AE453 V456:X477 AC456:AE477 V480:X501 AC480:AE501 V504:X523 AC504:AE523 V527:X552 AC527:AE552 V555:X581 AC555:AE581 V584:X605 AC584:AE605 V608:X629 AC608:AE629 V633:X633 AC633:AE633 V637:X637 AC637:AE637 V641:X641 AC641:AE641 V645:X648 AC645:AE648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15</vt:i4>
      </vt:variant>
    </vt:vector>
  </HeadingPairs>
  <TitlesOfParts>
    <vt:vector size="34" baseType="lpstr">
      <vt:lpstr>ESQUADRIA</vt:lpstr>
      <vt:lpstr>Orçamento</vt:lpstr>
      <vt:lpstr>Adm Local Obra</vt:lpstr>
      <vt:lpstr>Consumo Água e Energia</vt:lpstr>
      <vt:lpstr>Cronograma</vt:lpstr>
      <vt:lpstr>BDI</vt:lpstr>
      <vt:lpstr>LEIS SOCIAIS</vt:lpstr>
      <vt:lpstr>COBERTURA</vt:lpstr>
      <vt:lpstr>Revestimento</vt:lpstr>
      <vt:lpstr>impermeabilização</vt:lpstr>
      <vt:lpstr>Pintura Estac.</vt:lpstr>
      <vt:lpstr>GÁS GLP</vt:lpstr>
      <vt:lpstr>PLOTAGEM</vt:lpstr>
      <vt:lpstr>Piso e Forro</vt:lpstr>
      <vt:lpstr>HIDRÁULICA</vt:lpstr>
      <vt:lpstr>SANITÁRIA</vt:lpstr>
      <vt:lpstr>Plan6</vt:lpstr>
      <vt:lpstr>Plan3</vt:lpstr>
      <vt:lpstr>Plan1</vt:lpstr>
      <vt:lpstr>BDI!Area_de_impressao</vt:lpstr>
      <vt:lpstr>Cronograma!Area_de_impressao</vt:lpstr>
      <vt:lpstr>ESQUADRIA!Area_de_impressao</vt:lpstr>
      <vt:lpstr>'GÁS GLP'!Area_de_impressao</vt:lpstr>
      <vt:lpstr>impermeabilização!Area_de_impressao</vt:lpstr>
      <vt:lpstr>'LEIS SOCIAIS'!Area_de_impressao</vt:lpstr>
      <vt:lpstr>Orçamento!Area_de_impressao</vt:lpstr>
      <vt:lpstr>'Piso e Forro'!Area_de_impressao</vt:lpstr>
      <vt:lpstr>PLOTAGEM!Area_de_impressao</vt:lpstr>
      <vt:lpstr>Cronograma!Titulos_de_impressao</vt:lpstr>
      <vt:lpstr>ESQUADRIA!Titulos_de_impressao</vt:lpstr>
      <vt:lpstr>impermeabilização!Titulos_de_impressao</vt:lpstr>
      <vt:lpstr>Orçamento!Titulos_de_impressao</vt:lpstr>
      <vt:lpstr>'Piso e Forro'!Titulos_de_impressao</vt:lpstr>
      <vt:lpstr>Revestimento!Titulos_de_impressao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Edivan D'Brito</dc:creator>
  <cp:lastModifiedBy>Usuario</cp:lastModifiedBy>
  <cp:revision/>
  <cp:lastPrinted>2017-04-11T11:54:28Z</cp:lastPrinted>
  <dcterms:created xsi:type="dcterms:W3CDTF">2017-04-07T23:11:22Z</dcterms:created>
  <dcterms:modified xsi:type="dcterms:W3CDTF">2017-04-11T12:22:52Z</dcterms:modified>
</cp:coreProperties>
</file>