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348B8C48-ADCE-43D8-8C66-64C74E780A8D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Planilha Orçamentária" sheetId="1" r:id="rId1"/>
    <sheet name="Cronograma" sheetId="2" r:id="rId2"/>
    <sheet name="Memória de Cáculo" sheetId="3" r:id="rId3"/>
    <sheet name="Leis Sociais" sheetId="4" r:id="rId4"/>
    <sheet name="BDI" sheetId="5" r:id="rId5"/>
  </sheets>
  <externalReferences>
    <externalReference r:id="rId6"/>
  </externalReferences>
  <definedNames>
    <definedName name="_xlnm._FilterDatabase" localSheetId="0" hidden="1">'Planilha Orçamentária'!$C$16:$C$70</definedName>
    <definedName name="_xlnm.Print_Area" localSheetId="4">BDI!$B$2:$D$42</definedName>
    <definedName name="_xlnm.Print_Area" localSheetId="1">Cronograma!$B$2:$J$39</definedName>
    <definedName name="_xlnm.Print_Area" localSheetId="3">'Leis Sociais'!$B$2:$E$58</definedName>
    <definedName name="_xlnm.Print_Area" localSheetId="2">'Memória de Cáculo'!$B$2:$S$81</definedName>
    <definedName name="_xlnm.Print_Area" localSheetId="0">'Planilha Orçamentária'!$B$2:$K$83</definedName>
    <definedName name="b" localSheetId="4">#REF!</definedName>
    <definedName name="b" localSheetId="1">#REF!</definedName>
    <definedName name="b" localSheetId="3">#REF!</definedName>
    <definedName name="b" localSheetId="2">#REF!</definedName>
    <definedName name="b" localSheetId="0">#REF!</definedName>
    <definedName name="b">#REF!</definedName>
    <definedName name="BDI">[1]BDI!$A$8</definedName>
    <definedName name="cchl" localSheetId="4">#REF!</definedName>
    <definedName name="cchl" localSheetId="1">#REF!</definedName>
    <definedName name="cchl" localSheetId="3">#REF!</definedName>
    <definedName name="cchl" localSheetId="2">#REF!</definedName>
    <definedName name="cchl" localSheetId="0">#REF!</definedName>
    <definedName name="cchl">#REF!</definedName>
    <definedName name="_xlnm.Print_Titles" localSheetId="2">'Memória de Cáculo'!$7:$15</definedName>
    <definedName name="_xlnm.Print_Titles" localSheetId="0">'Planilha Orçamentária'!$7:$15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0" i="4" l="1"/>
  <c r="E46" i="4"/>
  <c r="D46" i="4"/>
  <c r="E39" i="4"/>
  <c r="E52" i="4" s="1"/>
  <c r="D39" i="4"/>
  <c r="E27" i="4"/>
  <c r="D27" i="4"/>
  <c r="D52" i="4" s="1"/>
  <c r="I72" i="1" l="1"/>
  <c r="H59" i="1"/>
  <c r="H58" i="1"/>
  <c r="H57" i="1"/>
  <c r="D66" i="1" l="1"/>
  <c r="M65" i="1"/>
  <c r="M61" i="1"/>
  <c r="M59" i="1"/>
  <c r="M58" i="1"/>
  <c r="M57" i="1"/>
  <c r="C32" i="5"/>
  <c r="C31" i="5"/>
  <c r="C30" i="5"/>
  <c r="C29" i="5"/>
  <c r="E20" i="5"/>
  <c r="E19" i="5"/>
  <c r="E18" i="5"/>
  <c r="E17" i="5"/>
  <c r="E16" i="5"/>
  <c r="E15" i="5"/>
  <c r="E14" i="5"/>
  <c r="E13" i="5"/>
  <c r="S76" i="3"/>
  <c r="S75" i="3"/>
  <c r="K74" i="3"/>
  <c r="J74" i="3"/>
  <c r="I74" i="3"/>
  <c r="H74" i="3"/>
  <c r="G74" i="3"/>
  <c r="F74" i="3"/>
  <c r="E74" i="3"/>
  <c r="S73" i="3"/>
  <c r="M72" i="3"/>
  <c r="S72" i="3" s="1"/>
  <c r="M71" i="3"/>
  <c r="S71" i="3" s="1"/>
  <c r="L70" i="3"/>
  <c r="S70" i="3" s="1"/>
  <c r="P69" i="3"/>
  <c r="S69" i="3" s="1"/>
  <c r="P68" i="3"/>
  <c r="O68" i="3"/>
  <c r="M68" i="3"/>
  <c r="S67" i="3"/>
  <c r="S66" i="3"/>
  <c r="N65" i="3"/>
  <c r="K65" i="3"/>
  <c r="J65" i="3"/>
  <c r="I65" i="3"/>
  <c r="H65" i="3"/>
  <c r="G65" i="3"/>
  <c r="F65" i="3"/>
  <c r="E65" i="3"/>
  <c r="P64" i="3"/>
  <c r="S64" i="3" s="1"/>
  <c r="N63" i="3"/>
  <c r="L63" i="3"/>
  <c r="S62" i="3"/>
  <c r="P61" i="3"/>
  <c r="M61" i="3"/>
  <c r="S60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S57" i="3"/>
  <c r="P56" i="3"/>
  <c r="M56" i="3"/>
  <c r="M53" i="3" s="1"/>
  <c r="Q55" i="3"/>
  <c r="O55" i="3"/>
  <c r="N55" i="3"/>
  <c r="M55" i="3"/>
  <c r="L55" i="3"/>
  <c r="K55" i="3"/>
  <c r="J55" i="3"/>
  <c r="I55" i="3"/>
  <c r="H55" i="3"/>
  <c r="G55" i="3"/>
  <c r="F55" i="3"/>
  <c r="E55" i="3"/>
  <c r="Q54" i="3"/>
  <c r="Q61" i="3" s="1"/>
  <c r="O54" i="3"/>
  <c r="O61" i="3" s="1"/>
  <c r="N54" i="3"/>
  <c r="N61" i="3" s="1"/>
  <c r="L54" i="3"/>
  <c r="L61" i="3" s="1"/>
  <c r="K54" i="3"/>
  <c r="K61" i="3" s="1"/>
  <c r="J54" i="3"/>
  <c r="J61" i="3" s="1"/>
  <c r="I54" i="3"/>
  <c r="I61" i="3" s="1"/>
  <c r="H54" i="3"/>
  <c r="G54" i="3"/>
  <c r="G61" i="3" s="1"/>
  <c r="F54" i="3"/>
  <c r="F61" i="3" s="1"/>
  <c r="E54" i="3"/>
  <c r="E61" i="3" s="1"/>
  <c r="Q53" i="3"/>
  <c r="O53" i="3"/>
  <c r="N53" i="3"/>
  <c r="L53" i="3"/>
  <c r="K53" i="3"/>
  <c r="J53" i="3"/>
  <c r="I53" i="3"/>
  <c r="H53" i="3"/>
  <c r="G53" i="3"/>
  <c r="F53" i="3"/>
  <c r="E53" i="3"/>
  <c r="S52" i="3"/>
  <c r="S51" i="3"/>
  <c r="S50" i="3"/>
  <c r="S48" i="3"/>
  <c r="S47" i="3"/>
  <c r="S46" i="3"/>
  <c r="S45" i="3"/>
  <c r="S44" i="3"/>
  <c r="S43" i="3"/>
  <c r="S42" i="3"/>
  <c r="S41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S39" i="3"/>
  <c r="S38" i="3"/>
  <c r="S37" i="3"/>
  <c r="S36" i="3"/>
  <c r="S35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S33" i="3"/>
  <c r="S32" i="3"/>
  <c r="S31" i="3"/>
  <c r="S30" i="3"/>
  <c r="S29" i="3"/>
  <c r="K28" i="3"/>
  <c r="S28" i="3" s="1"/>
  <c r="P27" i="3"/>
  <c r="O27" i="3"/>
  <c r="N27" i="3"/>
  <c r="M27" i="3"/>
  <c r="H27" i="3"/>
  <c r="E27" i="3"/>
  <c r="S26" i="3"/>
  <c r="S25" i="3"/>
  <c r="S24" i="3"/>
  <c r="S23" i="3"/>
  <c r="S20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S17" i="3"/>
  <c r="L24" i="2"/>
  <c r="C24" i="2"/>
  <c r="B24" i="2"/>
  <c r="L23" i="2"/>
  <c r="C23" i="2"/>
  <c r="B23" i="2"/>
  <c r="L22" i="2"/>
  <c r="C22" i="2"/>
  <c r="B22" i="2"/>
  <c r="L21" i="2"/>
  <c r="C21" i="2"/>
  <c r="B21" i="2"/>
  <c r="L20" i="2"/>
  <c r="C20" i="2"/>
  <c r="B20" i="2"/>
  <c r="L19" i="2"/>
  <c r="C19" i="2"/>
  <c r="B19" i="2"/>
  <c r="L18" i="2"/>
  <c r="C18" i="2"/>
  <c r="B18" i="2"/>
  <c r="L17" i="2"/>
  <c r="C17" i="2"/>
  <c r="B17" i="2"/>
  <c r="L16" i="2"/>
  <c r="C16" i="2"/>
  <c r="B16" i="2"/>
  <c r="I70" i="1"/>
  <c r="I69" i="1"/>
  <c r="I68" i="1"/>
  <c r="I67" i="1"/>
  <c r="I66" i="1"/>
  <c r="I65" i="1"/>
  <c r="D65" i="1"/>
  <c r="I64" i="1"/>
  <c r="I63" i="1"/>
  <c r="I62" i="1"/>
  <c r="I61" i="1"/>
  <c r="I59" i="1"/>
  <c r="I58" i="1"/>
  <c r="I57" i="1"/>
  <c r="I55" i="1"/>
  <c r="I54" i="1"/>
  <c r="I52" i="1"/>
  <c r="I51" i="1"/>
  <c r="I49" i="1"/>
  <c r="I48" i="1"/>
  <c r="I47" i="1"/>
  <c r="I46" i="1"/>
  <c r="I44" i="1"/>
  <c r="I43" i="1"/>
  <c r="I42" i="1"/>
  <c r="I41" i="1"/>
  <c r="I40" i="1"/>
  <c r="I39" i="1"/>
  <c r="I38" i="1"/>
  <c r="I37" i="1"/>
  <c r="I36" i="1"/>
  <c r="I35" i="1"/>
  <c r="I33" i="1"/>
  <c r="I32" i="1"/>
  <c r="I31" i="1"/>
  <c r="I30" i="1"/>
  <c r="I29" i="1"/>
  <c r="I28" i="1"/>
  <c r="I27" i="1"/>
  <c r="I26" i="1"/>
  <c r="I25" i="1"/>
  <c r="I23" i="1"/>
  <c r="I22" i="1"/>
  <c r="I21" i="1"/>
  <c r="I20" i="1"/>
  <c r="I18" i="1"/>
  <c r="I17" i="1"/>
  <c r="S63" i="3" l="1"/>
  <c r="S56" i="3"/>
  <c r="S40" i="3"/>
  <c r="S68" i="3"/>
  <c r="D35" i="5"/>
  <c r="S18" i="3"/>
  <c r="P53" i="3"/>
  <c r="S34" i="3"/>
  <c r="S54" i="3"/>
  <c r="S55" i="3"/>
  <c r="S59" i="3"/>
  <c r="R58" i="3" s="1"/>
  <c r="S58" i="3" s="1"/>
  <c r="S74" i="3"/>
  <c r="S65" i="3"/>
  <c r="J50" i="1"/>
  <c r="E21" i="2" s="1"/>
  <c r="J34" i="1"/>
  <c r="E19" i="2" s="1"/>
  <c r="J56" i="1"/>
  <c r="E23" i="2" s="1"/>
  <c r="J60" i="1"/>
  <c r="E24" i="2" s="1"/>
  <c r="J19" i="1"/>
  <c r="E17" i="2" s="1"/>
  <c r="J24" i="1"/>
  <c r="E18" i="2" s="1"/>
  <c r="J45" i="1"/>
  <c r="E20" i="2" s="1"/>
  <c r="J53" i="1"/>
  <c r="E22" i="2" s="1"/>
  <c r="S53" i="3"/>
  <c r="J16" i="1"/>
  <c r="H61" i="3"/>
  <c r="S61" i="3" s="1"/>
  <c r="F27" i="3"/>
  <c r="J72" i="1" l="1"/>
  <c r="J74" i="1" s="1"/>
  <c r="J76" i="1" s="1"/>
  <c r="G27" i="3"/>
  <c r="I27" i="3"/>
  <c r="I20" i="2"/>
  <c r="G20" i="2"/>
  <c r="I24" i="2"/>
  <c r="G24" i="2"/>
  <c r="I23" i="2"/>
  <c r="G23" i="2"/>
  <c r="E16" i="2"/>
  <c r="G21" i="2"/>
  <c r="I21" i="2"/>
  <c r="I18" i="2"/>
  <c r="G18" i="2"/>
  <c r="G17" i="2"/>
  <c r="I17" i="2"/>
  <c r="I74" i="1"/>
  <c r="I76" i="1" s="1"/>
  <c r="G22" i="2"/>
  <c r="I22" i="2"/>
  <c r="G19" i="2"/>
  <c r="I19" i="2"/>
  <c r="J23" i="2" l="1"/>
  <c r="J20" i="2"/>
  <c r="S27" i="3"/>
  <c r="J18" i="2"/>
  <c r="J24" i="2"/>
  <c r="E26" i="2"/>
  <c r="G16" i="2"/>
  <c r="I16" i="2"/>
  <c r="I26" i="2" s="1"/>
  <c r="J21" i="2"/>
  <c r="K76" i="1"/>
  <c r="K24" i="1"/>
  <c r="K19" i="1"/>
  <c r="K56" i="1"/>
  <c r="K45" i="1"/>
  <c r="K34" i="1"/>
  <c r="K53" i="1"/>
  <c r="K60" i="1"/>
  <c r="K50" i="1"/>
  <c r="J22" i="2"/>
  <c r="J19" i="2"/>
  <c r="J17" i="2"/>
  <c r="K16" i="1"/>
  <c r="H32" i="2" l="1"/>
  <c r="I28" i="2"/>
  <c r="I30" i="2" s="1"/>
  <c r="E28" i="2"/>
  <c r="E30" i="2" s="1"/>
  <c r="D24" i="2"/>
  <c r="D18" i="2"/>
  <c r="D22" i="2"/>
  <c r="D20" i="2"/>
  <c r="D21" i="2"/>
  <c r="D23" i="2"/>
  <c r="D17" i="2"/>
  <c r="D19" i="2"/>
  <c r="D16" i="2"/>
  <c r="K72" i="1"/>
  <c r="G26" i="2"/>
  <c r="J16" i="2"/>
  <c r="G28" i="2" l="1"/>
  <c r="J28" i="2" s="1"/>
  <c r="F32" i="2"/>
  <c r="J32" i="2" s="1"/>
  <c r="J26" i="2"/>
  <c r="D26" i="2"/>
  <c r="G30" i="2" l="1"/>
  <c r="J30" i="2" s="1"/>
</calcChain>
</file>

<file path=xl/sharedStrings.xml><?xml version="1.0" encoding="utf-8"?>
<sst xmlns="http://schemas.openxmlformats.org/spreadsheetml/2006/main" count="607" uniqueCount="338">
  <si>
    <t>GOVERNO DO ESTADO DO PIAUÍ</t>
  </si>
  <si>
    <t>FUNDAÇÃO ESTATAL PIAUIENSE DE SERVIÇOS HOSPITALARES - FEPISERH</t>
  </si>
  <si>
    <t>HOSPITAL GETÚLIO VARGAS</t>
  </si>
  <si>
    <t>COMISSÃO DE ENGENHARIA, ARQUITETURA E FISCALIZAÇÃO DE OBRAS - CEAFO</t>
  </si>
  <si>
    <t>PLANILHA ORÇAMENTÁRIA</t>
  </si>
  <si>
    <r>
      <t>Serviço:</t>
    </r>
    <r>
      <rPr>
        <sz val="11"/>
        <rFont val="Arial"/>
        <family val="2"/>
      </rPr>
      <t xml:space="preserve">  Reforma de Adequação para Implantação do CEO – Centro de Especialidades Odontológicas do Ambulatório Integrado Gov. Dirceu Mendes Arcoverde</t>
    </r>
  </si>
  <si>
    <r>
      <t>Endereço</t>
    </r>
    <r>
      <rPr>
        <sz val="11"/>
        <rFont val="Arial"/>
        <family val="2"/>
      </rPr>
      <t>: Rua São Pedro, s/n, Centro, Teresina – PI.</t>
    </r>
  </si>
  <si>
    <r>
      <rPr>
        <b/>
        <sz val="11"/>
        <rFont val="Arial"/>
        <family val="2"/>
      </rPr>
      <t>Tipo de intervenção:</t>
    </r>
    <r>
      <rPr>
        <sz val="11"/>
        <rFont val="Arial"/>
        <family val="2"/>
      </rPr>
      <t xml:space="preserve"> Reforma</t>
    </r>
  </si>
  <si>
    <r>
      <t>Área Reformada:</t>
    </r>
    <r>
      <rPr>
        <sz val="11"/>
        <rFont val="Arial"/>
        <family val="2"/>
      </rPr>
      <t xml:space="preserve">  144,07  m2</t>
    </r>
  </si>
  <si>
    <r>
      <t>BDI:</t>
    </r>
    <r>
      <rPr>
        <sz val="11"/>
        <rFont val="Arial"/>
        <family val="2"/>
      </rPr>
      <t xml:space="preserve">  25,00 %</t>
    </r>
  </si>
  <si>
    <t>ITEM</t>
  </si>
  <si>
    <t>SISTEMA REFERENCIAL</t>
  </si>
  <si>
    <t>CÓDIGO BASE</t>
  </si>
  <si>
    <t xml:space="preserve"> SERVIÇO</t>
  </si>
  <si>
    <t>UNIDADE</t>
  </si>
  <si>
    <t>QUANTIDADE</t>
  </si>
  <si>
    <t>VALORES</t>
  </si>
  <si>
    <t>Preço Unitário</t>
  </si>
  <si>
    <t>Preço Total</t>
  </si>
  <si>
    <t>Preço Etapa</t>
  </si>
  <si>
    <t>% da Etapa</t>
  </si>
  <si>
    <t>1.00</t>
  </si>
  <si>
    <t>SERVIÇOS PRELIMINARES</t>
  </si>
  <si>
    <t>1.01</t>
  </si>
  <si>
    <t>SINAPI</t>
  </si>
  <si>
    <t>Placa de obra em chapa aço galvanizado, instalada</t>
  </si>
  <si>
    <t>m²</t>
  </si>
  <si>
    <t>1.02</t>
  </si>
  <si>
    <t>Tapume de isolamento da obra</t>
  </si>
  <si>
    <t>2.00</t>
  </si>
  <si>
    <t>RETIRADAS E DEMOLIÇÕES</t>
  </si>
  <si>
    <t>2.01</t>
  </si>
  <si>
    <t>Demolição de alvenaria</t>
  </si>
  <si>
    <t>m³</t>
  </si>
  <si>
    <t>2.02</t>
  </si>
  <si>
    <t>ORSE</t>
  </si>
  <si>
    <t>Remoção de bancadas com cuba em granito</t>
  </si>
  <si>
    <t>2.03</t>
  </si>
  <si>
    <t>Remoção de bancadas em granito</t>
  </si>
  <si>
    <t>2.04</t>
  </si>
  <si>
    <t>3.00</t>
  </si>
  <si>
    <t>INSTALAÇÃO SANITÁRIA</t>
  </si>
  <si>
    <t>3.01</t>
  </si>
  <si>
    <t>SEINFRA</t>
  </si>
  <si>
    <t>C4927</t>
  </si>
  <si>
    <t>Caixa sifonada 150x150x50, com grelha metálica inox e fecho hídrico</t>
  </si>
  <si>
    <t>unid.</t>
  </si>
  <si>
    <t>3.02</t>
  </si>
  <si>
    <t>Engate em aço inox, 40 cm, DECA ou similar</t>
  </si>
  <si>
    <t>3.03</t>
  </si>
  <si>
    <t>Sifão cromado para lavatório, DECA ref.1680C 1 x 1 1/2 ou similar</t>
  </si>
  <si>
    <t>3.04</t>
  </si>
  <si>
    <t>C2502</t>
  </si>
  <si>
    <t>Torneira de mesa com fechamento automático para lavatório- Bica móvel de parede- Decamatic cód. 1170 C (Ref.Deca ou equivalente com o mesmo desempenho técnico)</t>
  </si>
  <si>
    <t>3.05</t>
  </si>
  <si>
    <t xml:space="preserve">Torneira monocomando, com fechamento de cotovelo, arejador, funcionamento em alta e baixa pressão, acabamento cromado (Ref. Woog linha clínica, Código 559 ou equivalente com o mesmo desempenho técnico). </t>
  </si>
  <si>
    <t>3.06</t>
  </si>
  <si>
    <t>Cuba de sobrepor oval L680, em louça, Ref. Deca ou equivalente com o mesmo desempenho técnico, em cerâmica esmaltada, cor branco gelo.</t>
  </si>
  <si>
    <t>3.07</t>
  </si>
  <si>
    <t>Porta-sabão líquido de plástico</t>
  </si>
  <si>
    <t>3.08</t>
  </si>
  <si>
    <t>3.09</t>
  </si>
  <si>
    <t>Válvula inox para lavatório de louça</t>
  </si>
  <si>
    <t>4.00</t>
  </si>
  <si>
    <t>INSTALAÇÃO ELÉTRICA</t>
  </si>
  <si>
    <t>4.01</t>
  </si>
  <si>
    <t>Interruptor simples, embutir, 10A/250V, uma tecla, com placa - Fornecimento e instalação</t>
  </si>
  <si>
    <t>4.02</t>
  </si>
  <si>
    <t>Luminária Led de sobrepor quadrado, de 24w, branco frio, cor branca. Referência Luminárias LLUM ou equivalente com o mesmo desempenho técnico.</t>
  </si>
  <si>
    <t>4.03</t>
  </si>
  <si>
    <t>Luminária Led de sobrepor quadrada de 12w,branco frio, cor branca .Referência luminárias LLUM ou equivalente com o mesmo desempenho técnico.</t>
  </si>
  <si>
    <t>4.04</t>
  </si>
  <si>
    <t>Luminária de emergência</t>
  </si>
  <si>
    <t>4.05</t>
  </si>
  <si>
    <t>Placa para caixa 4"x2" ou 3"x3"</t>
  </si>
  <si>
    <t>4.06</t>
  </si>
  <si>
    <t>Placa para caixa 4"x4"</t>
  </si>
  <si>
    <t>4.07</t>
  </si>
  <si>
    <t>Tomada de embutir, 2P+T 10A/250V, com placa - Fornecimento e Instalação</t>
  </si>
  <si>
    <t>4.08</t>
  </si>
  <si>
    <t>Rasgo em alvenaria para eletrodutos diâmetro menor ou igual a 40mm</t>
  </si>
  <si>
    <t>m</t>
  </si>
  <si>
    <t>4.09</t>
  </si>
  <si>
    <t>Ponto elétrico completo</t>
  </si>
  <si>
    <t>4.10</t>
  </si>
  <si>
    <t xml:space="preserve"> C4920 </t>
  </si>
  <si>
    <t>Tomada para lógica, com 2 conectores, RJ45, 8 fios, CAT - 5E, para caixa 4"x4"</t>
  </si>
  <si>
    <t>5.00</t>
  </si>
  <si>
    <t>REVESTIMENTO</t>
  </si>
  <si>
    <t>5.01</t>
  </si>
  <si>
    <t>Emboço</t>
  </si>
  <si>
    <t>5.02</t>
  </si>
  <si>
    <t>C3034</t>
  </si>
  <si>
    <t>Reboco</t>
  </si>
  <si>
    <t>5.03</t>
  </si>
  <si>
    <t>Forro de gesso, tipo liso</t>
  </si>
  <si>
    <t>5.04</t>
  </si>
  <si>
    <t>C4442</t>
  </si>
  <si>
    <t>Cerâmica esmaltada 20x20, cor branca, do piso ao forro, referência Elizabeth ou equivalente</t>
  </si>
  <si>
    <t>6.00</t>
  </si>
  <si>
    <t>PAVIMENTAÇÃO</t>
  </si>
  <si>
    <t>6.01</t>
  </si>
  <si>
    <t>C2179</t>
  </si>
  <si>
    <t xml:space="preserve">Regularização de base para piso cerâmico </t>
  </si>
  <si>
    <t>6.02</t>
  </si>
  <si>
    <t>Porcelanato natural borda retificada formato 62,5x62,5cm Cor Ref. Elizabeth ou equivalente</t>
  </si>
  <si>
    <t>7.00</t>
  </si>
  <si>
    <t>PINTURA</t>
  </si>
  <si>
    <t>7.01</t>
  </si>
  <si>
    <t>Pintura Epóxi ,linha hospitalar cor branco Ref. Tintas Sherwin Williams</t>
  </si>
  <si>
    <t>7.02</t>
  </si>
  <si>
    <t>Pintura acrílica acetinada linha hospitalar paredes e tetos cor branca sobre massa acrílica referência tinta hospitalar Sherwin-Williams ou equivalente, aplicar duas demãos. Forros.</t>
  </si>
  <si>
    <t>8.00</t>
  </si>
  <si>
    <t>ESQUADRIAS</t>
  </si>
  <si>
    <t>8.01</t>
  </si>
  <si>
    <t>C1988/C2216</t>
  </si>
  <si>
    <t>Porta em madeira compensada, revestimento laminado melamínico cor branca em todas as faces e lados, articulada, completa (forra, alizares e ferragens, fechadura c/ maçaneta tipo alavanca c/ extremidade curva), 210x80. De abrir. P1</t>
  </si>
  <si>
    <t>8.02</t>
  </si>
  <si>
    <t>Porta em madeira compensada, revestimento laminado melamínico cor branca em todas as faces e lados, articulada, completa (forra, alizares e ferragens), 210x90, com visor em vidro incolor 30x60cm. De correr. P2</t>
  </si>
  <si>
    <t>8.03</t>
  </si>
  <si>
    <t>Porta em madeira compensada, revestimento laminado melamínico cor branca em todas as faces e lados, articulada, completa (forra, alizares e ferragens), 210x100. De abrir, com duas folhas. P3</t>
  </si>
  <si>
    <t>9.00</t>
  </si>
  <si>
    <t>DIVERSOS</t>
  </si>
  <si>
    <t>9.01</t>
  </si>
  <si>
    <t>Peitoril e soleira em granito polido cor cinza</t>
  </si>
  <si>
    <t>9.02</t>
  </si>
  <si>
    <t>Tampo de guichê, em granito polido cor preto (dim= 1,20x20/110)</t>
  </si>
  <si>
    <t>9.03</t>
  </si>
  <si>
    <t>Bancada lisa com espelho e 15cm de altura, em granito polido cor preto (dim= 3,50x70/90cm)</t>
  </si>
  <si>
    <t>9.04</t>
  </si>
  <si>
    <t>Prateleiras em “L”, em granito polido cor preto, acabamento as duas faces (dim 170x40cm) 3 unidades</t>
  </si>
  <si>
    <t>9.06</t>
  </si>
  <si>
    <t>Bancada lisa com espelho e 15cm de altura, em granito polido cor preto (dim= 3,50x60/90cm)</t>
  </si>
  <si>
    <t>9.07</t>
  </si>
  <si>
    <t>C0355</t>
  </si>
  <si>
    <t>Bancada com cuba e espelho e 15cm de altura, em granito polido cor preto (dim= 1,20x60/90cm)</t>
  </si>
  <si>
    <t>9.08</t>
  </si>
  <si>
    <t>Cuba de sobrepor ARIA MAX PLUS 50 BS em aço inox (dim= 50x40x20,8cm) Ref. Tramontina</t>
  </si>
  <si>
    <t>9.09</t>
  </si>
  <si>
    <t>Bancada com duas cubas (para pia e lavatório) e espelho de 15cm de altura, em granito polido cor preto. Dim= variáveis x 60/90cm</t>
  </si>
  <si>
    <t>9.10</t>
  </si>
  <si>
    <t>Limpeza geral da obra</t>
  </si>
  <si>
    <t>Cuba de sobrepor oval de louça cor Branco L 680 referência Deca ou equivalente</t>
  </si>
  <si>
    <t>VALOR TOTAL DA PLANILHA SEM BDI</t>
  </si>
  <si>
    <t>VALOR DO BDI (25%)</t>
  </si>
  <si>
    <t>VALOR TOTAL DA PLANILHA COM BDI/CUSTO POR M²</t>
  </si>
  <si>
    <t>- Abreviaturas</t>
  </si>
  <si>
    <t>* SINAPI - Sistema Nacional de Pesquisa de Custos e Índices da Construção Civil</t>
  </si>
  <si>
    <t>Fauze Simão Sobrinho</t>
  </si>
  <si>
    <t>* SEINFRA - Secretaria de Infraestrutura do CEARÁ</t>
  </si>
  <si>
    <t>Engenheiro Civil</t>
  </si>
  <si>
    <t>* ORSE - Orçamento de Obras de Sergipe</t>
  </si>
  <si>
    <t>CEAFO/HGV</t>
  </si>
  <si>
    <t xml:space="preserve"> </t>
  </si>
  <si>
    <t>CRONOGRAMA FÍSICO-FINANCEIRO</t>
  </si>
  <si>
    <r>
      <t>Serviço:</t>
    </r>
    <r>
      <rPr>
        <sz val="11"/>
        <rFont val="Arial"/>
        <family val="2"/>
      </rPr>
      <t xml:space="preserve"> Reforma de Adequação para Implantação do CEO – Centro de Especialidades Odontológicas do Ambulatório Integrado Gov. Dirceu Mendes Arcoverde</t>
    </r>
  </si>
  <si>
    <r>
      <t>Endereço</t>
    </r>
    <r>
      <rPr>
        <sz val="11"/>
        <rFont val="Arial"/>
        <family val="2"/>
      </rPr>
      <t>: Rua São Pedro, s/n, Centro, Teresina – PI.</t>
    </r>
  </si>
  <si>
    <r>
      <rPr>
        <b/>
        <sz val="11"/>
        <rFont val="Arial"/>
        <family val="2"/>
      </rPr>
      <t>Tipo de intervenção:</t>
    </r>
    <r>
      <rPr>
        <sz val="11"/>
        <rFont val="Arial"/>
        <family val="2"/>
      </rPr>
      <t xml:space="preserve"> Reforma</t>
    </r>
  </si>
  <si>
    <r>
      <t>Área Reform.:</t>
    </r>
    <r>
      <rPr>
        <sz val="11"/>
        <rFont val="Arial"/>
        <family val="2"/>
      </rPr>
      <t xml:space="preserve">  144,07  m2</t>
    </r>
  </si>
  <si>
    <r>
      <t>BDI:</t>
    </r>
    <r>
      <rPr>
        <sz val="11"/>
        <rFont val="Arial"/>
        <family val="2"/>
      </rPr>
      <t xml:space="preserve">  25,00 %</t>
    </r>
  </si>
  <si>
    <t>DISCRIMINAÇÃO</t>
  </si>
  <si>
    <t>% DO ITEM</t>
  </si>
  <si>
    <t>VALOR DO ITEM</t>
  </si>
  <si>
    <t>30 DIAS</t>
  </si>
  <si>
    <t>60 DIAS</t>
  </si>
  <si>
    <t>TOTAL</t>
  </si>
  <si>
    <t>%</t>
  </si>
  <si>
    <t>VALOR</t>
  </si>
  <si>
    <t>VALOR TOTAL SEM BDI</t>
  </si>
  <si>
    <t>VALOR DO BDI 25%</t>
  </si>
  <si>
    <t>VALOR TOTAL COM BDI/TOTAL DO PERÍODO</t>
  </si>
  <si>
    <t>TOTAL DO PERÍODO (%)</t>
  </si>
  <si>
    <r>
      <t>Serviço:</t>
    </r>
    <r>
      <rPr>
        <sz val="11"/>
        <rFont val="Arial"/>
        <family val="2"/>
      </rPr>
      <t xml:space="preserve"> Reforma de Adequação para Implantação do CEO – Centro de Especialidades Odontológicas do Ambulatório Integrado Gov. Dirceu Mendes Arcoverde</t>
    </r>
  </si>
  <si>
    <r>
      <t>Endereço</t>
    </r>
    <r>
      <rPr>
        <sz val="11"/>
        <rFont val="Arial"/>
        <family val="2"/>
      </rPr>
      <t>: Rua São Pedro, s/n, Centro, Teresina – PI.</t>
    </r>
  </si>
  <si>
    <r>
      <t>Tipo de Intervenção:</t>
    </r>
    <r>
      <rPr>
        <sz val="11"/>
        <rFont val="Arial"/>
        <family val="2"/>
      </rPr>
      <t xml:space="preserve">  Reforma</t>
    </r>
  </si>
  <si>
    <r>
      <t>Área:</t>
    </r>
    <r>
      <rPr>
        <sz val="11"/>
        <rFont val="Arial"/>
        <family val="2"/>
      </rPr>
      <t xml:space="preserve">  144,07  m2</t>
    </r>
  </si>
  <si>
    <t>MEMÓRIA DE CÁLCULO</t>
  </si>
  <si>
    <t>DADOS DE ARQUITETURA</t>
  </si>
  <si>
    <t>CONSULTÓRIO 01</t>
  </si>
  <si>
    <t>CONSULTÓRIO 02</t>
  </si>
  <si>
    <t>CONSULTÓRIO 03</t>
  </si>
  <si>
    <t>CONSULTÓRIO 04</t>
  </si>
  <si>
    <t>CONSULTÓRIO 05</t>
  </si>
  <si>
    <t>CONSULTÓRIO O6</t>
  </si>
  <si>
    <t>CONSULTÓRIO 07</t>
  </si>
  <si>
    <t>DEPÓSITO</t>
  </si>
  <si>
    <t>SALA DE LAVAGEM</t>
  </si>
  <si>
    <t>HALL</t>
  </si>
  <si>
    <t>GUARDA DE MATERIAL ESTERELIZADO</t>
  </si>
  <si>
    <t>SALA DE ESTERELIZAÇÃO</t>
  </si>
  <si>
    <t>RECEPÇÃO E REGISTRO OTORRINO/ODONTO</t>
  </si>
  <si>
    <t>01</t>
  </si>
  <si>
    <t>PERÍMETRO</t>
  </si>
  <si>
    <t>02</t>
  </si>
  <si>
    <t>ÁREA DE PISO</t>
  </si>
  <si>
    <t>03</t>
  </si>
  <si>
    <t>ÁREA DE FORRO</t>
  </si>
  <si>
    <t>04</t>
  </si>
  <si>
    <t>ALTURA REVESTIMENTO CERÂMICO</t>
  </si>
  <si>
    <t>05</t>
  </si>
  <si>
    <t>ÁREA DE REVESTIMENTO</t>
  </si>
  <si>
    <t>06</t>
  </si>
  <si>
    <t>ALTURA REBOCO</t>
  </si>
  <si>
    <t>Remoção de bancadas lisas em granito</t>
  </si>
  <si>
    <t>Engate para água- ligação flexível em aço inox, 40 cm – DECA 4607C ou similar.</t>
  </si>
  <si>
    <t>Sifão para lavatório acabamento cromado (Ref. Deca Código 1680C 112 ou equivalente com o mesmo desempenho técnico)</t>
  </si>
  <si>
    <t>Torneira de mesa com fechamento automático para lavatório Decamatic cód. 1170 C (Ref. Deca ou equivalente com o mesmo desempenho técnico)</t>
  </si>
  <si>
    <t>Torneira monocomando, com fechamento de cotovelo, arejador, funcionamento em alta e baixa pressão, acabamento cromado (Ref. Woog linha clínica, Código 559 ou equivalente com o mesmo desempenho técnico). Modelo referência: bica móvel de parede.</t>
  </si>
  <si>
    <t>Porta-sabão líquido de plástico (ver padrão do ambiente)</t>
  </si>
  <si>
    <t>Porta-toalhas de papel inox (ver padrão do ambiente)</t>
  </si>
  <si>
    <t>Interruptor simples, embutir, 10A/250V, uma tecla, com placa - Fornecimento e instalação. Silentoque da Pial Legrand.</t>
  </si>
  <si>
    <t>Plafon Led de sobrepor quadrado, de 24w, branco frio, cor branca. Referência Luminárias LLUM ou equivalente</t>
  </si>
  <si>
    <t>Paflon Led de sobrepor quadrado, de 12w, branco frio, cor branca. Referência Luminárias LLUM ou equivalente</t>
  </si>
  <si>
    <t>Ponto elétrico para equipamento de refrigeração</t>
  </si>
  <si>
    <t>Ponto de lógica</t>
  </si>
  <si>
    <t>Forro de gesso, tipo liso (recuperação)</t>
  </si>
  <si>
    <t>Cerâmica esmaltada acetinada, formato20x20, cor branca, do piso ao forro, referência Eliane ou equivalente.</t>
  </si>
  <si>
    <t>p1-Porta em madeira compensada de cedro, revestimento laminado melamínico cor branca em todas as faces e lados, articulada, completa (forra, alizares e ferragens, fechadura c/ maçaneta tipo alavanca c/ extremidade curva), 210x80. De abrir,</t>
  </si>
  <si>
    <t>p2-Porta em madeira compensada de cedro, revestimento laminado melamínico cor branca em todas as faces e lados, articulada, completa (forra, alizares e ferragens), 210x90, com visor em vidro incolor 30x60cm. De correr.</t>
  </si>
  <si>
    <t>p3-Porta em madeira compensada de cedro, revestimento laminado melamínico cor branca em todas as faces e lados, articulada, completa (forra, alizares e ferragens), 210x100. De abrir, com duas folhas.</t>
  </si>
  <si>
    <t>9.05</t>
  </si>
  <si>
    <r>
      <rPr>
        <b/>
        <sz val="11"/>
        <rFont val="Arial"/>
        <family val="2"/>
      </rPr>
      <t>Tipo de intervenção:</t>
    </r>
    <r>
      <rPr>
        <sz val="11"/>
        <rFont val="Arial"/>
        <family val="2"/>
      </rPr>
      <t xml:space="preserve"> Reforma</t>
    </r>
  </si>
  <si>
    <t>ENCARGOS SOCIAIS SOBRE A MÃO DE OBRA</t>
  </si>
  <si>
    <t>CÓDIGO</t>
  </si>
  <si>
    <t>DESCRIÇÃO</t>
  </si>
  <si>
    <t>HORISTA (%)</t>
  </si>
  <si>
    <t>MENSALISTA (%)</t>
  </si>
  <si>
    <t>GRUPO A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</si>
  <si>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</si>
  <si>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</si>
  <si>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</si>
  <si>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</si>
  <si>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</si>
  <si>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</si>
  <si>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</si>
  <si>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</si>
  <si>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</si>
  <si>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</si>
  <si>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</si>
  <si>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SALÁRIO-EDUCAÇÃO</t>
  </si>
  <si>
    <t>A7</t>
  </si>
  <si>
    <t>SEGURO CONTRA ACIDENTES DE TRABALHO</t>
  </si>
  <si>
    <t>A8</t>
  </si>
  <si>
    <t>FGTS</t>
  </si>
  <si>
    <t>A9</t>
  </si>
  <si>
    <t>SECONCI</t>
  </si>
  <si>
    <t>A</t>
  </si>
  <si>
    <t>GRUPO B</t>
  </si>
  <si>
    <t>B1</t>
  </si>
  <si>
    <t>REPOUSO SEMANAL REMUNERADO</t>
  </si>
  <si>
    <t>-</t>
  </si>
  <si>
    <t>B2</t>
  </si>
  <si>
    <t>FERIADOS</t>
  </si>
  <si>
    <t>B3</t>
  </si>
  <si>
    <t>AUXILIO - ENFERMIDADE</t>
  </si>
  <si>
    <t>B4</t>
  </si>
  <si>
    <t>13º SALÁRIO</t>
  </si>
  <si>
    <t>B5</t>
  </si>
  <si>
    <t>LICENÇA PATERNIDADE</t>
  </si>
  <si>
    <t>B6</t>
  </si>
  <si>
    <t>FALTAS JUSTIFICADAS</t>
  </si>
  <si>
    <t>B7</t>
  </si>
  <si>
    <t>DIAS DE CHUVA</t>
  </si>
  <si>
    <t>B8</t>
  </si>
  <si>
    <t>AUXILIO ACIDETE DE TRABALHO</t>
  </si>
  <si>
    <t>B9</t>
  </si>
  <si>
    <t>FÉRIAS GOZADAS</t>
  </si>
  <si>
    <t>B10</t>
  </si>
  <si>
    <t>SALÁRIO MATERNIDADE</t>
  </si>
  <si>
    <t>B</t>
  </si>
  <si>
    <t>GRUPO C</t>
  </si>
  <si>
    <t>C1</t>
  </si>
  <si>
    <t>AVISO PRÉVIO INDENIZADO</t>
  </si>
  <si>
    <t>C2</t>
  </si>
  <si>
    <t>AVISO PRÉVIO TRABALHADO</t>
  </si>
  <si>
    <t>C3</t>
  </si>
  <si>
    <t>FÉRIAS IDENIZADAS</t>
  </si>
  <si>
    <t>C4</t>
  </si>
  <si>
    <t>DEPÓSITO RESCISÃO SEM JUSTA CAUSA</t>
  </si>
  <si>
    <t>C5</t>
  </si>
  <si>
    <t>IDENIZAÇÃO ADICIONAL</t>
  </si>
  <si>
    <t>C</t>
  </si>
  <si>
    <t>GRUPO D</t>
  </si>
  <si>
    <t>D1</t>
  </si>
  <si>
    <t>REINCIDÊNCIA DE GRUPO A SOBRE GRUPO B</t>
  </si>
  <si>
    <t>D2</t>
  </si>
  <si>
    <t>REINCIDÊNCIA DE GRUPO A SOBRE AVISO PRÉVIO TRABALHADO E REINCIDÊNCIA DOFGTSSOBRE AVISO PRÉVIO INDENIZADO</t>
  </si>
  <si>
    <t>D</t>
  </si>
  <si>
    <t>TOTAL (A+B+C+D)</t>
  </si>
  <si>
    <t>SECRETARIA DE SAÚDE DO ESTADO DO PIAUÍ</t>
  </si>
  <si>
    <t>Estabelecimento: Hospital Getúlio Vargas</t>
  </si>
  <si>
    <t>Serviço: Reforma de Adequação para Implantação do CEO – Centro de Especialidades Odontológicas do Ambulatório Integrado Gov. Dirceu Mendes Arcoverde</t>
  </si>
  <si>
    <t>CÁLCULO DO BDI - BONIFICAÇÕES E DESPESAS INDIRETAS</t>
  </si>
  <si>
    <t>PERCENTUAIS(%)</t>
  </si>
  <si>
    <t>1. LUCRO</t>
  </si>
  <si>
    <t>2. ADMINISTRAÇÃO CENTRAL</t>
  </si>
  <si>
    <t>3. DESPESAS FINANCEIRAS</t>
  </si>
  <si>
    <t>4. ISSQN</t>
  </si>
  <si>
    <t>5. PIS</t>
  </si>
  <si>
    <t>6. CPRB (4,5% SOBRE FATURAMENTO)</t>
  </si>
  <si>
    <t>7. COFINS</t>
  </si>
  <si>
    <t>8. GARANTIAS, SEGUROS E RISCOS</t>
  </si>
  <si>
    <t>CÁLCULO DO BDI</t>
  </si>
  <si>
    <t>• X(%)   =</t>
  </si>
  <si>
    <t>• Y(%)   =</t>
  </si>
  <si>
    <t>• Z(%)   =</t>
  </si>
  <si>
    <r>
      <rPr>
        <b/>
        <sz val="10"/>
        <rFont val="Calibri"/>
        <family val="2"/>
      </rPr>
      <t>•</t>
    </r>
    <r>
      <rPr>
        <b/>
        <sz val="10"/>
        <rFont val="Times New Roman"/>
        <family val="1"/>
      </rPr>
      <t xml:space="preserve"> l(%)   =</t>
    </r>
  </si>
  <si>
    <t>Aplicando na fórmula acima, temos:</t>
  </si>
  <si>
    <t>BDI(%)=</t>
  </si>
  <si>
    <t>C0702</t>
  </si>
  <si>
    <t>Carga mecanizada de entulho (Bota fora)</t>
  </si>
  <si>
    <t>86881</t>
  </si>
  <si>
    <t>C4770</t>
  </si>
  <si>
    <t>C4825</t>
  </si>
  <si>
    <t>Porta-toalhas de papel ABS</t>
  </si>
  <si>
    <t>C3002</t>
  </si>
  <si>
    <t>C2476</t>
  </si>
  <si>
    <t>00051</t>
  </si>
  <si>
    <t>04392</t>
  </si>
  <si>
    <t>02045</t>
  </si>
  <si>
    <t>08228</t>
  </si>
  <si>
    <t>01996</t>
  </si>
  <si>
    <t>CAIXA OCTOGONAL 3" X 3", PVC, INSTALADA EM LAJE - FORNECIMENTO E INSTALAÇÃ</t>
  </si>
  <si>
    <t>CAIXA RETANGULAR 4" X 4" ALTA (2,00 M DO PISO), PVC, INSTALADA EM PAREDE - FORNECIMENTO E INSTALAÇÃO. AF_12/2015</t>
  </si>
  <si>
    <t>Placa de obra em chapa aço galvanizado, instalada - Rev 02_01/2022</t>
  </si>
  <si>
    <t>Cuba de sobrepor oval de louça cor Branco L 65 referência Deca ou equivalente</t>
  </si>
  <si>
    <r>
      <rPr>
        <sz val="11"/>
        <rFont val="Arial"/>
        <family val="2"/>
      </rPr>
      <t xml:space="preserve">- Importa o presente orçamento a quantia de </t>
    </r>
    <r>
      <rPr>
        <b/>
        <sz val="11"/>
        <rFont val="Arial"/>
        <family val="2"/>
      </rPr>
      <t xml:space="preserve">R$ 195.394,81 </t>
    </r>
    <r>
      <rPr>
        <sz val="11"/>
        <rFont val="Arial"/>
        <family val="2"/>
      </rPr>
      <t>(</t>
    </r>
    <r>
      <rPr>
        <b/>
        <sz val="11"/>
        <rFont val="Arial"/>
        <family val="2"/>
      </rPr>
      <t>cento e noventa e cinco mil, trezentos e noventa e quatro reais e oitenta e um centavos</t>
    </r>
    <r>
      <rPr>
        <sz val="11"/>
        <rFont val="Arial"/>
        <family val="2"/>
      </rPr>
      <t xml:space="preserve">), referente à obra de </t>
    </r>
    <r>
      <rPr>
        <b/>
        <sz val="11"/>
        <rFont val="Arial"/>
        <family val="2"/>
      </rPr>
      <t>Reforma de Adequação para Implantação do CEO – Centro de Especialidades Odontológicas do Ambulatório Integrado Gov. Dirceu Mendes Arcoverde</t>
    </r>
    <r>
      <rPr>
        <sz val="11"/>
        <rFont val="Arial"/>
        <family val="2"/>
      </rPr>
      <t>, do Hospital Getúlio Vargas. Os preços unitários estão de acordo com as tabelas do SINAPI, SEINFRA, E ORSE vigentes.</t>
    </r>
  </si>
  <si>
    <r>
      <t>Data Base:</t>
    </r>
    <r>
      <rPr>
        <sz val="11"/>
        <rFont val="Arial"/>
        <family val="2"/>
      </rPr>
      <t xml:space="preserve"> SINAPI - 04/2022
                   ORSE - 03/2022
                 SEINFRA - 27.1</t>
    </r>
  </si>
  <si>
    <r>
      <t>Data Orçamento:</t>
    </r>
    <r>
      <rPr>
        <sz val="11"/>
        <rFont val="Arial"/>
        <family val="2"/>
      </rPr>
      <t xml:space="preserve"> 20/05/2022</t>
    </r>
  </si>
  <si>
    <r>
      <t xml:space="preserve">Data Orçamento: </t>
    </r>
    <r>
      <rPr>
        <sz val="11"/>
        <rFont val="Arial"/>
        <family val="2"/>
      </rPr>
      <t>20/05/22</t>
    </r>
  </si>
  <si>
    <t>Obra:Reforma de Adequação para Implantação do CEO – Centro de Especialidades Odontológicas do Ambulatório Integrado Gov. Dirceu Mendes Arcoverde</t>
  </si>
  <si>
    <r>
      <rPr>
        <b/>
        <sz val="11"/>
        <rFont val="Arial"/>
        <family val="2"/>
      </rPr>
      <t>Endereço</t>
    </r>
    <r>
      <rPr>
        <sz val="11"/>
        <rFont val="Arial"/>
        <family val="2"/>
      </rPr>
      <t>: Rua São Pedro, s/n, Centro, Teresina – PI.</t>
    </r>
  </si>
  <si>
    <t>Endereço: Rua São Pedro, s/n, Centro, Teresina – PI.</t>
  </si>
  <si>
    <t>Data: 20/05/2022</t>
  </si>
  <si>
    <t>Teresina (PI), 20 de maio de 2022</t>
  </si>
  <si>
    <t>SINAPI – Cálculos e Parâmetros</t>
  </si>
  <si>
    <t>Apêndice 18 – Encargos Sociais – Piauí</t>
  </si>
  <si>
    <t>VIGÊNCIA A PARTIR DE OUTUBRO DE 2021/COM DESONERAÇÃO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</si>
</sst>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\-??_);_(@_)"/>
    <numFmt numFmtId="165" formatCode="#,##0.0"/>
    <numFmt numFmtId="166" formatCode="_-* #,##0.00_-;\-* #,##0.00_-;_-* &quot;-&quot;??_-;_-@"/>
    <numFmt numFmtId="167" formatCode="_-* #,##0.00_-;\-* #,##0.00_-;_-* \-??_-;_-@"/>
    <numFmt numFmtId="168" formatCode="0\.00"/>
    <numFmt numFmtId="169" formatCode="0.0000"/>
  </numFmts>
  <fonts count="39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i/>
      <sz val="12"/>
      <name val="Calibri"/>
      <family val="2"/>
      <scheme val="minor"/>
    </font>
    <font>
      <sz val="10"/>
      <name val="Times New Roman"/>
      <family val="1"/>
    </font>
    <font>
      <i/>
      <sz val="12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Arial"/>
      <family val="2"/>
    </font>
    <font>
      <b/>
      <sz val="14"/>
      <name val="Calibri"/>
      <family val="2"/>
      <scheme val="minor"/>
    </font>
    <font>
      <b/>
      <sz val="10"/>
      <name val="Times New Roman"/>
      <family val="1"/>
    </font>
    <font>
      <b/>
      <sz val="10"/>
      <name val="Calibri"/>
      <family val="2"/>
    </font>
    <font>
      <sz val="11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rgb="FF333333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E3E3E3"/>
        <bgColor rgb="FFE3E3E3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0" fillId="0" borderId="0"/>
    <xf numFmtId="0" fontId="20" fillId="0" borderId="0"/>
  </cellStyleXfs>
  <cellXfs count="301">
    <xf numFmtId="0" fontId="0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7" fillId="0" borderId="12" xfId="0" applyFont="1" applyBorder="1" applyAlignment="1">
      <alignment horizontal="left" vertical="center"/>
    </xf>
    <xf numFmtId="165" fontId="10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166" fontId="10" fillId="0" borderId="12" xfId="0" applyNumberFormat="1" applyFont="1" applyBorder="1" applyAlignment="1">
      <alignment horizontal="center" vertical="center" wrapText="1"/>
    </xf>
    <xf numFmtId="166" fontId="10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/>
    </xf>
    <xf numFmtId="166" fontId="10" fillId="0" borderId="12" xfId="0" applyNumberFormat="1" applyFont="1" applyBorder="1" applyAlignment="1">
      <alignment vertical="center"/>
    </xf>
    <xf numFmtId="49" fontId="10" fillId="0" borderId="12" xfId="0" applyNumberFormat="1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166" fontId="10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/>
    <xf numFmtId="164" fontId="10" fillId="0" borderId="0" xfId="0" applyNumberFormat="1" applyFont="1" applyAlignment="1"/>
    <xf numFmtId="0" fontId="2" fillId="0" borderId="0" xfId="0" applyFont="1" applyAlignment="1">
      <alignment horizontal="left" vertical="center"/>
    </xf>
    <xf numFmtId="0" fontId="14" fillId="0" borderId="0" xfId="0" applyFont="1" applyAlignment="1"/>
    <xf numFmtId="164" fontId="14" fillId="0" borderId="0" xfId="0" applyNumberFormat="1" applyFont="1" applyAlignment="1"/>
    <xf numFmtId="0" fontId="8" fillId="0" borderId="0" xfId="0" applyFont="1" applyAlignment="1"/>
    <xf numFmtId="0" fontId="8" fillId="3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64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65" fontId="7" fillId="0" borderId="12" xfId="0" applyNumberFormat="1" applyFont="1" applyBorder="1" applyAlignment="1">
      <alignment horizontal="center" vertical="center"/>
    </xf>
    <xf numFmtId="164" fontId="13" fillId="0" borderId="12" xfId="0" applyNumberFormat="1" applyFont="1" applyBorder="1" applyAlignment="1">
      <alignment horizontal="right" vertical="center"/>
    </xf>
    <xf numFmtId="167" fontId="7" fillId="0" borderId="12" xfId="0" applyNumberFormat="1" applyFont="1" applyBorder="1" applyAlignment="1">
      <alignment horizontal="right" vertical="center"/>
    </xf>
    <xf numFmtId="167" fontId="13" fillId="0" borderId="12" xfId="0" applyNumberFormat="1" applyFont="1" applyBorder="1" applyAlignment="1">
      <alignment horizontal="right" vertical="center"/>
    </xf>
    <xf numFmtId="167" fontId="10" fillId="0" borderId="12" xfId="0" applyNumberFormat="1" applyFont="1" applyBorder="1" applyAlignment="1"/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164" fontId="13" fillId="0" borderId="10" xfId="0" applyNumberFormat="1" applyFont="1" applyBorder="1" applyAlignment="1">
      <alignment horizontal="right" vertical="center"/>
    </xf>
    <xf numFmtId="167" fontId="7" fillId="0" borderId="10" xfId="0" applyNumberFormat="1" applyFont="1" applyBorder="1" applyAlignment="1">
      <alignment horizontal="right" vertical="center"/>
    </xf>
    <xf numFmtId="167" fontId="13" fillId="0" borderId="10" xfId="0" applyNumberFormat="1" applyFont="1" applyBorder="1" applyAlignment="1">
      <alignment horizontal="right" vertical="center"/>
    </xf>
    <xf numFmtId="0" fontId="7" fillId="3" borderId="17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horizontal="left" vertical="center"/>
    </xf>
    <xf numFmtId="164" fontId="7" fillId="3" borderId="12" xfId="0" applyNumberFormat="1" applyFont="1" applyFill="1" applyBorder="1" applyAlignment="1">
      <alignment horizontal="right" vertical="center"/>
    </xf>
    <xf numFmtId="167" fontId="7" fillId="3" borderId="12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10" fontId="7" fillId="3" borderId="12" xfId="0" applyNumberFormat="1" applyFont="1" applyFill="1" applyBorder="1" applyAlignment="1">
      <alignment horizontal="right" vertical="center"/>
    </xf>
    <xf numFmtId="10" fontId="7" fillId="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7" fillId="0" borderId="0" xfId="0" applyFont="1" applyAlignment="1">
      <alignment horizontal="left" vertical="center"/>
    </xf>
    <xf numFmtId="165" fontId="18" fillId="2" borderId="12" xfId="0" applyNumberFormat="1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left" vertical="center" wrapText="1"/>
    </xf>
    <xf numFmtId="0" fontId="18" fillId="2" borderId="12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 wrapText="1"/>
    </xf>
    <xf numFmtId="165" fontId="18" fillId="3" borderId="18" xfId="0" applyNumberFormat="1" applyFont="1" applyFill="1" applyBorder="1" applyAlignment="1">
      <alignment horizontal="center" vertical="center"/>
    </xf>
    <xf numFmtId="0" fontId="18" fillId="3" borderId="18" xfId="0" applyFont="1" applyFill="1" applyBorder="1" applyAlignment="1">
      <alignment vertical="center" wrapText="1"/>
    </xf>
    <xf numFmtId="0" fontId="18" fillId="3" borderId="18" xfId="0" applyFont="1" applyFill="1" applyBorder="1" applyAlignment="1">
      <alignment horizontal="center" vertical="center"/>
    </xf>
    <xf numFmtId="0" fontId="18" fillId="3" borderId="18" xfId="0" applyFont="1" applyFill="1" applyBorder="1" applyAlignment="1">
      <alignment horizontal="center" vertical="center" wrapText="1"/>
    </xf>
    <xf numFmtId="165" fontId="8" fillId="0" borderId="12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vertical="center" wrapText="1"/>
    </xf>
    <xf numFmtId="165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166" fontId="8" fillId="0" borderId="12" xfId="0" applyNumberFormat="1" applyFont="1" applyBorder="1" applyAlignment="1">
      <alignment horizontal="center" vertical="center"/>
    </xf>
    <xf numFmtId="166" fontId="8" fillId="0" borderId="12" xfId="0" applyNumberFormat="1" applyFont="1" applyBorder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166" fontId="10" fillId="0" borderId="0" xfId="0" applyNumberFormat="1" applyFont="1" applyAlignment="1"/>
    <xf numFmtId="166" fontId="11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2" fontId="17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19" fillId="0" borderId="0" xfId="1" applyFont="1" applyAlignment="1">
      <alignment horizontal="center"/>
    </xf>
    <xf numFmtId="0" fontId="19" fillId="0" borderId="0" xfId="1" applyFont="1"/>
    <xf numFmtId="0" fontId="19" fillId="0" borderId="0" xfId="1" applyFont="1" applyAlignment="1">
      <alignment horizontal="center" vertical="center"/>
    </xf>
    <xf numFmtId="0" fontId="19" fillId="0" borderId="0" xfId="1" applyFont="1" applyAlignment="1">
      <alignment vertical="center"/>
    </xf>
    <xf numFmtId="0" fontId="24" fillId="0" borderId="30" xfId="1" applyFont="1" applyBorder="1" applyAlignment="1">
      <alignment horizontal="center" vertical="top" wrapText="1"/>
    </xf>
    <xf numFmtId="0" fontId="25" fillId="0" borderId="0" xfId="1" applyFont="1"/>
    <xf numFmtId="0" fontId="24" fillId="0" borderId="0" xfId="1" applyFont="1" applyAlignment="1">
      <alignment horizontal="center" vertical="center"/>
    </xf>
    <xf numFmtId="0" fontId="24" fillId="0" borderId="0" xfId="1" applyFont="1" applyAlignment="1">
      <alignment vertical="top" wrapText="1"/>
    </xf>
    <xf numFmtId="2" fontId="26" fillId="0" borderId="30" xfId="1" applyNumberFormat="1" applyFont="1" applyBorder="1" applyAlignment="1">
      <alignment horizontal="center" vertical="top" wrapText="1"/>
    </xf>
    <xf numFmtId="169" fontId="27" fillId="0" borderId="30" xfId="1" applyNumberFormat="1" applyFont="1" applyBorder="1" applyAlignment="1">
      <alignment horizontal="right" vertical="top" wrapText="1"/>
    </xf>
    <xf numFmtId="0" fontId="26" fillId="0" borderId="0" xfId="1" applyFont="1" applyAlignment="1">
      <alignment vertical="top" wrapText="1"/>
    </xf>
    <xf numFmtId="2" fontId="26" fillId="0" borderId="0" xfId="1" applyNumberFormat="1" applyFont="1" applyAlignment="1">
      <alignment horizontal="center" vertical="top" wrapText="1"/>
    </xf>
    <xf numFmtId="2" fontId="25" fillId="0" borderId="0" xfId="1" applyNumberFormat="1" applyFont="1"/>
    <xf numFmtId="169" fontId="27" fillId="0" borderId="0" xfId="1" applyNumberFormat="1" applyFont="1" applyAlignment="1">
      <alignment horizontal="right" vertical="top" wrapText="1"/>
    </xf>
    <xf numFmtId="0" fontId="28" fillId="0" borderId="22" xfId="1" applyFont="1" applyBorder="1" applyAlignment="1">
      <alignment vertical="top" wrapText="1"/>
    </xf>
    <xf numFmtId="0" fontId="26" fillId="0" borderId="22" xfId="1" applyFont="1" applyBorder="1" applyAlignment="1">
      <alignment vertical="top" wrapText="1"/>
    </xf>
    <xf numFmtId="2" fontId="25" fillId="0" borderId="23" xfId="1" applyNumberFormat="1" applyFont="1" applyBorder="1"/>
    <xf numFmtId="169" fontId="27" fillId="0" borderId="22" xfId="1" applyNumberFormat="1" applyFont="1" applyBorder="1" applyAlignment="1">
      <alignment horizontal="right" vertical="top" wrapText="1"/>
    </xf>
    <xf numFmtId="0" fontId="27" fillId="0" borderId="22" xfId="1" applyFont="1" applyBorder="1" applyAlignment="1">
      <alignment vertical="top" wrapText="1"/>
    </xf>
    <xf numFmtId="2" fontId="27" fillId="0" borderId="0" xfId="1" applyNumberFormat="1" applyFont="1" applyAlignment="1">
      <alignment horizontal="center" vertical="top" wrapText="1"/>
    </xf>
    <xf numFmtId="0" fontId="29" fillId="0" borderId="22" xfId="1" applyFont="1" applyBorder="1" applyAlignment="1">
      <alignment horizontal="justify"/>
    </xf>
    <xf numFmtId="0" fontId="29" fillId="0" borderId="22" xfId="1" applyFont="1" applyBorder="1" applyAlignment="1">
      <alignment horizontal="right"/>
    </xf>
    <xf numFmtId="2" fontId="29" fillId="0" borderId="0" xfId="1" applyNumberFormat="1" applyFont="1" applyAlignment="1">
      <alignment horizontal="left"/>
    </xf>
    <xf numFmtId="0" fontId="25" fillId="0" borderId="23" xfId="1" applyFont="1" applyBorder="1"/>
    <xf numFmtId="0" fontId="30" fillId="0" borderId="22" xfId="1" applyFont="1" applyBorder="1" applyAlignment="1">
      <alignment horizontal="left" vertical="center"/>
    </xf>
    <xf numFmtId="2" fontId="30" fillId="0" borderId="0" xfId="1" applyNumberFormat="1" applyFont="1" applyAlignment="1">
      <alignment horizontal="left" vertical="center"/>
    </xf>
    <xf numFmtId="0" fontId="30" fillId="0" borderId="24" xfId="1" applyFont="1" applyBorder="1" applyAlignment="1">
      <alignment horizontal="left" vertical="center"/>
    </xf>
    <xf numFmtId="2" fontId="30" fillId="0" borderId="25" xfId="1" applyNumberFormat="1" applyFont="1" applyBorder="1" applyAlignment="1">
      <alignment horizontal="left" vertical="center"/>
    </xf>
    <xf numFmtId="0" fontId="25" fillId="0" borderId="26" xfId="1" applyFont="1" applyBorder="1"/>
    <xf numFmtId="0" fontId="30" fillId="0" borderId="0" xfId="1" applyFont="1" applyAlignment="1">
      <alignment horizontal="center"/>
    </xf>
    <xf numFmtId="2" fontId="30" fillId="0" borderId="0" xfId="1" applyNumberFormat="1" applyFont="1" applyAlignment="1">
      <alignment horizontal="left"/>
    </xf>
    <xf numFmtId="0" fontId="29" fillId="0" borderId="0" xfId="1" applyFont="1" applyAlignment="1">
      <alignment horizontal="justify"/>
    </xf>
    <xf numFmtId="0" fontId="25" fillId="0" borderId="21" xfId="1" applyFont="1" applyBorder="1" applyAlignment="1">
      <alignment vertical="center"/>
    </xf>
    <xf numFmtId="0" fontId="25" fillId="0" borderId="24" xfId="1" applyFont="1" applyBorder="1" applyAlignment="1">
      <alignment vertical="center"/>
    </xf>
    <xf numFmtId="2" fontId="29" fillId="0" borderId="25" xfId="1" applyNumberFormat="1" applyFont="1" applyBorder="1" applyAlignment="1">
      <alignment horizontal="right" vertical="center"/>
    </xf>
    <xf numFmtId="2" fontId="29" fillId="0" borderId="26" xfId="1" applyNumberFormat="1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7" fillId="0" borderId="12" xfId="0" applyFont="1" applyFill="1" applyBorder="1" applyAlignment="1">
      <alignment horizontal="left" vertical="center"/>
    </xf>
    <xf numFmtId="164" fontId="8" fillId="0" borderId="12" xfId="0" applyNumberFormat="1" applyFont="1" applyFill="1" applyBorder="1" applyAlignment="1">
      <alignment horizontal="center" vertical="center" wrapText="1"/>
    </xf>
    <xf numFmtId="165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166" fontId="10" fillId="0" borderId="12" xfId="0" applyNumberFormat="1" applyFont="1" applyFill="1" applyBorder="1" applyAlignment="1">
      <alignment horizontal="center" vertical="center"/>
    </xf>
    <xf numFmtId="166" fontId="10" fillId="0" borderId="12" xfId="0" applyNumberFormat="1" applyFont="1" applyFill="1" applyBorder="1" applyAlignment="1">
      <alignment horizontal="center" vertical="center" wrapText="1"/>
    </xf>
    <xf numFmtId="166" fontId="8" fillId="0" borderId="12" xfId="0" applyNumberFormat="1" applyFont="1" applyFill="1" applyBorder="1" applyAlignment="1">
      <alignment horizontal="center" vertical="center" wrapText="1"/>
    </xf>
    <xf numFmtId="10" fontId="8" fillId="0" borderId="12" xfId="0" applyNumberFormat="1" applyFont="1" applyFill="1" applyBorder="1" applyAlignment="1">
      <alignment horizontal="center" vertical="center" wrapText="1"/>
    </xf>
    <xf numFmtId="165" fontId="10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166" fontId="10" fillId="0" borderId="12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167" fontId="2" fillId="0" borderId="12" xfId="0" applyNumberFormat="1" applyFont="1" applyFill="1" applyBorder="1" applyAlignment="1">
      <alignment horizontal="right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/>
    </xf>
    <xf numFmtId="166" fontId="11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167" fontId="10" fillId="0" borderId="0" xfId="0" applyNumberFormat="1" applyFont="1" applyFill="1" applyAlignment="1">
      <alignment horizontal="center" vertical="center"/>
    </xf>
    <xf numFmtId="166" fontId="10" fillId="0" borderId="10" xfId="0" applyNumberFormat="1" applyFont="1" applyFill="1" applyBorder="1" applyAlignment="1">
      <alignment horizontal="center" vertical="center"/>
    </xf>
    <xf numFmtId="166" fontId="10" fillId="0" borderId="0" xfId="0" applyNumberFormat="1" applyFont="1" applyFill="1" applyAlignment="1">
      <alignment vertical="center"/>
    </xf>
    <xf numFmtId="167" fontId="12" fillId="0" borderId="16" xfId="0" applyNumberFormat="1" applyFont="1" applyFill="1" applyBorder="1" applyAlignment="1">
      <alignment horizontal="center" vertical="center"/>
    </xf>
    <xf numFmtId="167" fontId="12" fillId="0" borderId="12" xfId="0" applyNumberFormat="1" applyFont="1" applyFill="1" applyBorder="1" applyAlignment="1">
      <alignment horizontal="center" vertical="center"/>
    </xf>
    <xf numFmtId="10" fontId="12" fillId="0" borderId="12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167" fontId="12" fillId="0" borderId="0" xfId="0" applyNumberFormat="1" applyFont="1" applyFill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167" fontId="2" fillId="0" borderId="0" xfId="0" applyNumberFormat="1" applyFont="1" applyFill="1" applyAlignment="1">
      <alignment horizontal="center" vertical="center"/>
    </xf>
    <xf numFmtId="167" fontId="12" fillId="0" borderId="10" xfId="0" applyNumberFormat="1" applyFont="1" applyFill="1" applyBorder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20" fillId="0" borderId="12" xfId="0" quotePrefix="1" applyFont="1" applyFill="1" applyBorder="1" applyAlignment="1">
      <alignment horizontal="center" vertical="center"/>
    </xf>
    <xf numFmtId="0" fontId="34" fillId="0" borderId="12" xfId="0" quotePrefix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2" xfId="0" quotePrefix="1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166" fontId="2" fillId="0" borderId="12" xfId="0" applyNumberFormat="1" applyFont="1" applyFill="1" applyBorder="1" applyAlignment="1">
      <alignment horizontal="center" vertical="center"/>
    </xf>
    <xf numFmtId="166" fontId="2" fillId="0" borderId="12" xfId="0" applyNumberFormat="1" applyFont="1" applyFill="1" applyBorder="1" applyAlignment="1">
      <alignment horizontal="center" vertical="center" wrapText="1"/>
    </xf>
    <xf numFmtId="166" fontId="34" fillId="0" borderId="12" xfId="0" applyNumberFormat="1" applyFont="1" applyFill="1" applyBorder="1" applyAlignment="1">
      <alignment vertical="center"/>
    </xf>
    <xf numFmtId="167" fontId="34" fillId="0" borderId="12" xfId="0" applyNumberFormat="1" applyFont="1" applyFill="1" applyBorder="1" applyAlignment="1">
      <alignment vertical="center"/>
    </xf>
    <xf numFmtId="0" fontId="37" fillId="0" borderId="0" xfId="0" applyFont="1" applyFill="1" applyBorder="1" applyAlignment="1"/>
    <xf numFmtId="0" fontId="37" fillId="0" borderId="0" xfId="0" applyFont="1" applyFill="1" applyBorder="1" applyAlignment="1">
      <alignment vertical="center"/>
    </xf>
    <xf numFmtId="167" fontId="37" fillId="0" borderId="0" xfId="0" applyNumberFormat="1" applyFont="1" applyFill="1" applyBorder="1" applyAlignment="1">
      <alignment vertical="center"/>
    </xf>
    <xf numFmtId="166" fontId="38" fillId="0" borderId="0" xfId="0" applyNumberFormat="1" applyFont="1" applyFill="1" applyBorder="1" applyAlignment="1">
      <alignment horizontal="center" vertical="center"/>
    </xf>
    <xf numFmtId="167" fontId="37" fillId="0" borderId="0" xfId="0" applyNumberFormat="1" applyFont="1" applyFill="1" applyBorder="1" applyAlignment="1">
      <alignment horizontal="center" vertical="center"/>
    </xf>
    <xf numFmtId="166" fontId="38" fillId="0" borderId="0" xfId="0" applyNumberFormat="1" applyFont="1" applyFill="1" applyBorder="1" applyAlignment="1">
      <alignment horizontal="center" vertical="center" wrapText="1"/>
    </xf>
    <xf numFmtId="166" fontId="38" fillId="0" borderId="0" xfId="0" applyNumberFormat="1" applyFont="1" applyFill="1" applyBorder="1" applyAlignment="1">
      <alignment vertical="center"/>
    </xf>
    <xf numFmtId="4" fontId="12" fillId="0" borderId="12" xfId="0" applyNumberFormat="1" applyFont="1" applyFill="1" applyBorder="1" applyAlignment="1">
      <alignment horizontal="center" vertical="center" wrapText="1"/>
    </xf>
    <xf numFmtId="166" fontId="12" fillId="0" borderId="12" xfId="0" applyNumberFormat="1" applyFont="1" applyFill="1" applyBorder="1" applyAlignment="1">
      <alignment horizontal="center" vertical="center"/>
    </xf>
    <xf numFmtId="166" fontId="12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2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7" fillId="0" borderId="2" xfId="0" applyFont="1" applyBorder="1"/>
    <xf numFmtId="0" fontId="7" fillId="0" borderId="0" xfId="0" applyFont="1"/>
    <xf numFmtId="0" fontId="3" fillId="0" borderId="0" xfId="0" applyFont="1"/>
    <xf numFmtId="0" fontId="0" fillId="0" borderId="0" xfId="0" applyAlignment="1"/>
    <xf numFmtId="0" fontId="13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13" fillId="0" borderId="0" xfId="0" applyFont="1" applyFill="1" applyAlignment="1">
      <alignment horizontal="center" vertical="center"/>
    </xf>
    <xf numFmtId="0" fontId="12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/>
    <xf numFmtId="0" fontId="4" fillId="0" borderId="15" xfId="0" applyFont="1" applyFill="1" applyBorder="1"/>
    <xf numFmtId="0" fontId="7" fillId="0" borderId="0" xfId="0" quotePrefix="1" applyFont="1" applyFill="1" applyAlignment="1">
      <alignment horizontal="justify" vertical="center" wrapText="1"/>
    </xf>
    <xf numFmtId="0" fontId="0" fillId="0" borderId="0" xfId="0" applyFont="1" applyFill="1" applyAlignment="1">
      <alignment horizontal="justify" vertical="center"/>
    </xf>
    <xf numFmtId="0" fontId="7" fillId="0" borderId="0" xfId="0" applyFont="1" applyFill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/>
    <xf numFmtId="164" fontId="8" fillId="0" borderId="13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/>
    </xf>
    <xf numFmtId="0" fontId="4" fillId="0" borderId="11" xfId="0" applyFont="1" applyFill="1" applyBorder="1"/>
    <xf numFmtId="0" fontId="7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65" fontId="8" fillId="0" borderId="13" xfId="0" applyNumberFormat="1" applyFont="1" applyFill="1" applyBorder="1" applyAlignment="1">
      <alignment horizontal="center" vertical="center"/>
    </xf>
    <xf numFmtId="165" fontId="8" fillId="0" borderId="13" xfId="0" applyNumberFormat="1" applyFont="1" applyFill="1" applyBorder="1" applyAlignment="1">
      <alignment horizontal="center" vertical="center" wrapText="1"/>
    </xf>
    <xf numFmtId="164" fontId="8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/>
    <xf numFmtId="0" fontId="4" fillId="0" borderId="3" xfId="0" applyFont="1" applyFill="1" applyBorder="1"/>
    <xf numFmtId="0" fontId="3" fillId="0" borderId="4" xfId="0" applyFont="1" applyFill="1" applyBorder="1" applyAlignment="1">
      <alignment horizontal="center" vertical="center"/>
    </xf>
    <xf numFmtId="0" fontId="4" fillId="0" borderId="5" xfId="0" applyFont="1" applyFill="1" applyBorder="1"/>
    <xf numFmtId="0" fontId="0" fillId="0" borderId="6" xfId="0" applyFont="1" applyFill="1" applyBorder="1" applyAlignment="1">
      <alignment horizontal="center" vertical="center"/>
    </xf>
    <xf numFmtId="0" fontId="4" fillId="0" borderId="7" xfId="0" applyFont="1" applyFill="1" applyBorder="1"/>
    <xf numFmtId="0" fontId="4" fillId="0" borderId="8" xfId="0" applyFont="1" applyFill="1" applyBorder="1"/>
    <xf numFmtId="0" fontId="6" fillId="0" borderId="9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4" fillId="0" borderId="14" xfId="0" applyFont="1" applyBorder="1"/>
    <xf numFmtId="0" fontId="7" fillId="3" borderId="13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4" fillId="0" borderId="11" xfId="0" applyFont="1" applyBorder="1"/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7" fillId="0" borderId="9" xfId="0" applyFont="1" applyBorder="1" applyAlignment="1">
      <alignment horizontal="left" vertical="center" wrapText="1"/>
    </xf>
    <xf numFmtId="0" fontId="4" fillId="0" borderId="10" xfId="0" applyFont="1" applyBorder="1"/>
    <xf numFmtId="0" fontId="7" fillId="0" borderId="9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3" fillId="0" borderId="4" xfId="0" applyFont="1" applyBorder="1" applyAlignment="1">
      <alignment horizontal="center" vertical="center"/>
    </xf>
    <xf numFmtId="0" fontId="0" fillId="0" borderId="0" xfId="0" applyFont="1" applyAlignment="1"/>
    <xf numFmtId="0" fontId="4" fillId="0" borderId="5" xfId="0" applyFont="1" applyBorder="1"/>
    <xf numFmtId="0" fontId="0" fillId="0" borderId="6" xfId="0" applyFont="1" applyBorder="1" applyAlignment="1">
      <alignment horizontal="center" vertical="center"/>
    </xf>
    <xf numFmtId="0" fontId="4" fillId="0" borderId="7" xfId="0" applyFont="1" applyBorder="1"/>
    <xf numFmtId="0" fontId="4" fillId="0" borderId="8" xfId="0" applyFont="1" applyBorder="1"/>
    <xf numFmtId="168" fontId="6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9" xfId="0" applyFont="1" applyBorder="1" applyAlignment="1">
      <alignment horizontal="left" vertical="center"/>
    </xf>
    <xf numFmtId="49" fontId="12" fillId="0" borderId="17" xfId="0" applyNumberFormat="1" applyFont="1" applyBorder="1" applyAlignment="1">
      <alignment horizontal="center" vertical="center" wrapText="1"/>
    </xf>
    <xf numFmtId="0" fontId="2" fillId="0" borderId="16" xfId="0" applyFont="1" applyBorder="1"/>
    <xf numFmtId="0" fontId="2" fillId="0" borderId="11" xfId="0" applyFont="1" applyBorder="1"/>
    <xf numFmtId="0" fontId="17" fillId="0" borderId="17" xfId="0" applyFont="1" applyBorder="1" applyAlignment="1">
      <alignment horizontal="center" vertical="center"/>
    </xf>
    <xf numFmtId="0" fontId="0" fillId="0" borderId="0" xfId="0"/>
    <xf numFmtId="0" fontId="15" fillId="0" borderId="9" xfId="0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26" fillId="0" borderId="30" xfId="1" applyFont="1" applyBorder="1" applyAlignment="1">
      <alignment horizontal="left" vertical="top" wrapText="1"/>
    </xf>
    <xf numFmtId="0" fontId="21" fillId="0" borderId="19" xfId="2" applyFont="1" applyBorder="1" applyAlignment="1">
      <alignment horizontal="left" vertical="center"/>
    </xf>
    <xf numFmtId="0" fontId="21" fillId="0" borderId="20" xfId="2" applyFont="1" applyBorder="1" applyAlignment="1">
      <alignment horizontal="left" vertical="center"/>
    </xf>
    <xf numFmtId="0" fontId="21" fillId="0" borderId="21" xfId="2" applyFont="1" applyBorder="1" applyAlignment="1">
      <alignment horizontal="left" vertical="center"/>
    </xf>
    <xf numFmtId="0" fontId="22" fillId="0" borderId="22" xfId="2" applyFont="1" applyBorder="1" applyAlignment="1">
      <alignment horizontal="left" vertical="center"/>
    </xf>
    <xf numFmtId="0" fontId="22" fillId="0" borderId="0" xfId="2" applyFont="1" applyAlignment="1">
      <alignment horizontal="left" vertical="center"/>
    </xf>
    <xf numFmtId="0" fontId="22" fillId="0" borderId="23" xfId="2" applyFont="1" applyBorder="1" applyAlignment="1">
      <alignment horizontal="left" vertical="center"/>
    </xf>
    <xf numFmtId="0" fontId="20" fillId="0" borderId="22" xfId="2" applyBorder="1" applyAlignment="1">
      <alignment horizontal="left" vertical="center"/>
    </xf>
    <xf numFmtId="0" fontId="20" fillId="0" borderId="0" xfId="2" applyAlignment="1">
      <alignment horizontal="left" vertical="center"/>
    </xf>
    <xf numFmtId="0" fontId="20" fillId="0" borderId="23" xfId="2" applyBorder="1" applyAlignment="1">
      <alignment horizontal="left" vertical="center"/>
    </xf>
    <xf numFmtId="0" fontId="2" fillId="0" borderId="22" xfId="2" applyFont="1" applyBorder="1" applyAlignment="1">
      <alignment horizontal="left" vertical="center"/>
    </xf>
    <xf numFmtId="0" fontId="20" fillId="0" borderId="22" xfId="2" applyBorder="1" applyAlignment="1">
      <alignment horizontal="left" vertical="center" wrapText="1"/>
    </xf>
    <xf numFmtId="0" fontId="20" fillId="0" borderId="0" xfId="2" applyAlignment="1">
      <alignment horizontal="left" vertical="center" wrapText="1"/>
    </xf>
    <xf numFmtId="0" fontId="20" fillId="0" borderId="23" xfId="2" applyBorder="1" applyAlignment="1">
      <alignment horizontal="left" vertical="center" wrapText="1"/>
    </xf>
    <xf numFmtId="0" fontId="2" fillId="0" borderId="24" xfId="2" applyFont="1" applyBorder="1" applyAlignment="1">
      <alignment horizontal="left" vertical="center"/>
    </xf>
    <xf numFmtId="0" fontId="20" fillId="0" borderId="25" xfId="2" applyBorder="1" applyAlignment="1">
      <alignment horizontal="left" vertical="center"/>
    </xf>
    <xf numFmtId="0" fontId="20" fillId="0" borderId="26" xfId="2" applyBorder="1" applyAlignment="1">
      <alignment horizontal="left" vertical="center"/>
    </xf>
    <xf numFmtId="0" fontId="23" fillId="0" borderId="27" xfId="1" applyFont="1" applyBorder="1" applyAlignment="1">
      <alignment horizontal="center" vertical="center"/>
    </xf>
    <xf numFmtId="0" fontId="23" fillId="0" borderId="28" xfId="1" applyFont="1" applyBorder="1" applyAlignment="1">
      <alignment horizontal="center" vertical="center"/>
    </xf>
    <xf numFmtId="0" fontId="23" fillId="0" borderId="29" xfId="1" applyFont="1" applyBorder="1" applyAlignment="1">
      <alignment horizontal="center" vertical="center"/>
    </xf>
    <xf numFmtId="0" fontId="24" fillId="0" borderId="30" xfId="1" applyFont="1" applyBorder="1" applyAlignment="1">
      <alignment horizontal="center" vertical="center"/>
    </xf>
    <xf numFmtId="0" fontId="19" fillId="0" borderId="0" xfId="1" applyFont="1" applyAlignment="1">
      <alignment horizontal="left" vertical="center"/>
    </xf>
    <xf numFmtId="0" fontId="32" fillId="0" borderId="0" xfId="3" applyFont="1" applyAlignment="1">
      <alignment horizontal="center" vertical="center"/>
    </xf>
    <xf numFmtId="0" fontId="26" fillId="0" borderId="30" xfId="1" applyFont="1" applyBorder="1" applyAlignment="1">
      <alignment horizontal="left" vertical="top"/>
    </xf>
    <xf numFmtId="0" fontId="28" fillId="0" borderId="19" xfId="1" applyFont="1" applyBorder="1" applyAlignment="1">
      <alignment horizontal="left" vertical="top" wrapText="1"/>
    </xf>
    <xf numFmtId="0" fontId="28" fillId="0" borderId="20" xfId="1" applyFont="1" applyBorder="1" applyAlignment="1">
      <alignment horizontal="left" vertical="top" wrapText="1"/>
    </xf>
    <xf numFmtId="0" fontId="28" fillId="0" borderId="21" xfId="1" applyFont="1" applyBorder="1" applyAlignment="1">
      <alignment horizontal="left" vertical="top" wrapText="1"/>
    </xf>
    <xf numFmtId="0" fontId="26" fillId="0" borderId="19" xfId="1" applyFont="1" applyBorder="1" applyAlignment="1">
      <alignment horizontal="left" vertical="center"/>
    </xf>
    <xf numFmtId="0" fontId="26" fillId="0" borderId="20" xfId="1" applyFont="1" applyBorder="1" applyAlignment="1">
      <alignment horizontal="left" vertical="center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2 9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962025</xdr:colOff>
      <xdr:row>1</xdr:row>
      <xdr:rowOff>28575</xdr:rowOff>
    </xdr:from>
    <xdr:ext cx="952500" cy="85725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1</xdr:row>
      <xdr:rowOff>52915</xdr:rowOff>
    </xdr:from>
    <xdr:ext cx="2286000" cy="85725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45017" y="285748"/>
          <a:ext cx="2286000" cy="8572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1</xdr:row>
      <xdr:rowOff>28575</xdr:rowOff>
    </xdr:from>
    <xdr:ext cx="933450" cy="85725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47625</xdr:colOff>
      <xdr:row>1</xdr:row>
      <xdr:rowOff>28575</xdr:rowOff>
    </xdr:from>
    <xdr:ext cx="2305050" cy="866775"/>
    <xdr:pic>
      <xdr:nvPicPr>
        <xdr:cNvPr id="3" name="image4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</xdr:row>
      <xdr:rowOff>28575</xdr:rowOff>
    </xdr:from>
    <xdr:ext cx="0" cy="752475"/>
    <xdr:pic>
      <xdr:nvPicPr>
        <xdr:cNvPr id="2" name="image5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</xdr:row>
      <xdr:rowOff>28575</xdr:rowOff>
    </xdr:from>
    <xdr:ext cx="0" cy="752475"/>
    <xdr:pic>
      <xdr:nvPicPr>
        <xdr:cNvPr id="3" name="image6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17</xdr:col>
      <xdr:colOff>771525</xdr:colOff>
      <xdr:row>1</xdr:row>
      <xdr:rowOff>38100</xdr:rowOff>
    </xdr:from>
    <xdr:ext cx="876300" cy="828675"/>
    <xdr:pic>
      <xdr:nvPicPr>
        <xdr:cNvPr id="4" name="image7.jp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47625</xdr:colOff>
      <xdr:row>1</xdr:row>
      <xdr:rowOff>28575</xdr:rowOff>
    </xdr:from>
    <xdr:ext cx="2305050" cy="857250"/>
    <xdr:pic>
      <xdr:nvPicPr>
        <xdr:cNvPr id="5" name="image8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1</xdr:row>
      <xdr:rowOff>85725</xdr:rowOff>
    </xdr:from>
    <xdr:ext cx="1943100" cy="742950"/>
    <xdr:pic>
      <xdr:nvPicPr>
        <xdr:cNvPr id="2" name="image9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1057275</xdr:colOff>
      <xdr:row>1</xdr:row>
      <xdr:rowOff>38100</xdr:rowOff>
    </xdr:from>
    <xdr:ext cx="923925" cy="838200"/>
    <xdr:pic>
      <xdr:nvPicPr>
        <xdr:cNvPr id="3" name="image10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</xdr:row>
      <xdr:rowOff>47625</xdr:rowOff>
    </xdr:from>
    <xdr:to>
      <xdr:col>3</xdr:col>
      <xdr:colOff>714375</xdr:colOff>
      <xdr:row>29</xdr:row>
      <xdr:rowOff>0</xdr:rowOff>
    </xdr:to>
    <xdr:pic>
      <xdr:nvPicPr>
        <xdr:cNvPr id="2" name="Objeto 1">
          <a:extLst>
            <a:ext uri="{FF2B5EF4-FFF2-40B4-BE49-F238E27FC236}">
              <a16:creationId xmlns:a16="http://schemas.microsoft.com/office/drawing/2014/main" id="{76F9A363-D7FF-477A-B729-C92E12884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531" t="-5362" r="-3528" b="-29993"/>
        <a:stretch>
          <a:fillRect/>
        </a:stretch>
      </xdr:blipFill>
      <xdr:spPr bwMode="auto">
        <a:xfrm>
          <a:off x="314325" y="4543425"/>
          <a:ext cx="4676775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C-07.08%20-%20Farm&#225;cia%20Parnaiba%20EXPANDIR%20ENG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 1ª MED"/>
      <sheetName val="1ª MED."/>
      <sheetName val="cronograma"/>
      <sheetName val="GERAL "/>
      <sheetName val="BDI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A8">
            <v>1.3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"/>
  <sheetViews>
    <sheetView showGridLines="0" zoomScale="90" zoomScaleNormal="90" zoomScaleSheetLayoutView="100" workbookViewId="0"/>
  </sheetViews>
  <sheetFormatPr defaultColWidth="14.42578125" defaultRowHeight="15" customHeight="1" x14ac:dyDescent="0.2"/>
  <cols>
    <col min="1" max="1" width="4.5703125" style="122" customWidth="1"/>
    <col min="2" max="2" width="8.5703125" style="122" customWidth="1"/>
    <col min="3" max="3" width="12.28515625" style="122" customWidth="1"/>
    <col min="4" max="4" width="13" style="122" customWidth="1"/>
    <col min="5" max="5" width="60.5703125" style="122" customWidth="1"/>
    <col min="6" max="6" width="10.5703125" style="122" customWidth="1"/>
    <col min="7" max="8" width="12.5703125" style="122" customWidth="1"/>
    <col min="9" max="9" width="16.7109375" style="122" customWidth="1"/>
    <col min="10" max="11" width="14.5703125" style="122" customWidth="1"/>
    <col min="12" max="12" width="14.42578125" style="122"/>
    <col min="13" max="13" width="14.42578125" style="184"/>
    <col min="14" max="16384" width="14.42578125" style="122"/>
  </cols>
  <sheetData>
    <row r="1" spans="1:13" ht="18" customHeight="1" x14ac:dyDescent="0.2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3" ht="18" customHeight="1" x14ac:dyDescent="0.2">
      <c r="A2" s="121"/>
      <c r="B2" s="222" t="s">
        <v>0</v>
      </c>
      <c r="C2" s="223"/>
      <c r="D2" s="223"/>
      <c r="E2" s="223"/>
      <c r="F2" s="223"/>
      <c r="G2" s="223"/>
      <c r="H2" s="223"/>
      <c r="I2" s="223"/>
      <c r="J2" s="223"/>
      <c r="K2" s="224"/>
    </row>
    <row r="3" spans="1:13" ht="18" customHeight="1" x14ac:dyDescent="0.2">
      <c r="A3" s="121"/>
      <c r="B3" s="225" t="s">
        <v>1</v>
      </c>
      <c r="C3" s="203"/>
      <c r="D3" s="203"/>
      <c r="E3" s="203"/>
      <c r="F3" s="203"/>
      <c r="G3" s="203"/>
      <c r="H3" s="203"/>
      <c r="I3" s="203"/>
      <c r="J3" s="203"/>
      <c r="K3" s="226"/>
    </row>
    <row r="4" spans="1:13" ht="18" customHeight="1" x14ac:dyDescent="0.2">
      <c r="A4" s="121"/>
      <c r="B4" s="225" t="s">
        <v>2</v>
      </c>
      <c r="C4" s="203"/>
      <c r="D4" s="203"/>
      <c r="E4" s="203"/>
      <c r="F4" s="203"/>
      <c r="G4" s="203"/>
      <c r="H4" s="203"/>
      <c r="I4" s="203"/>
      <c r="J4" s="203"/>
      <c r="K4" s="226"/>
    </row>
    <row r="5" spans="1:13" ht="18" customHeight="1" x14ac:dyDescent="0.2">
      <c r="A5" s="121"/>
      <c r="B5" s="227" t="s">
        <v>3</v>
      </c>
      <c r="C5" s="228"/>
      <c r="D5" s="228"/>
      <c r="E5" s="228"/>
      <c r="F5" s="228"/>
      <c r="G5" s="228"/>
      <c r="H5" s="228"/>
      <c r="I5" s="228"/>
      <c r="J5" s="228"/>
      <c r="K5" s="229"/>
    </row>
    <row r="6" spans="1:13" ht="4.5" customHeight="1" x14ac:dyDescent="0.2">
      <c r="A6" s="121"/>
      <c r="B6" s="123"/>
      <c r="C6" s="123"/>
      <c r="D6" s="123"/>
      <c r="E6" s="123"/>
      <c r="F6" s="123"/>
      <c r="G6" s="123"/>
      <c r="H6" s="123"/>
      <c r="I6" s="123"/>
      <c r="J6" s="123"/>
      <c r="K6" s="123"/>
    </row>
    <row r="7" spans="1:13" ht="18" customHeight="1" x14ac:dyDescent="0.2">
      <c r="A7" s="121"/>
      <c r="B7" s="230" t="s">
        <v>4</v>
      </c>
      <c r="C7" s="206"/>
      <c r="D7" s="206"/>
      <c r="E7" s="206"/>
      <c r="F7" s="206"/>
      <c r="G7" s="206"/>
      <c r="H7" s="206"/>
      <c r="I7" s="206"/>
      <c r="J7" s="206"/>
      <c r="K7" s="215"/>
    </row>
    <row r="8" spans="1:13" ht="4.5" customHeight="1" x14ac:dyDescent="0.2">
      <c r="A8" s="121"/>
      <c r="B8" s="124"/>
      <c r="C8" s="124"/>
      <c r="D8" s="124"/>
      <c r="E8" s="121"/>
      <c r="F8" s="124"/>
      <c r="G8" s="121"/>
      <c r="H8" s="125"/>
      <c r="I8" s="126"/>
      <c r="J8" s="126"/>
      <c r="K8" s="126"/>
    </row>
    <row r="9" spans="1:13" ht="18" customHeight="1" x14ac:dyDescent="0.2">
      <c r="A9" s="121"/>
      <c r="B9" s="221" t="s">
        <v>5</v>
      </c>
      <c r="C9" s="206"/>
      <c r="D9" s="206"/>
      <c r="E9" s="206"/>
      <c r="F9" s="206"/>
      <c r="G9" s="206"/>
      <c r="H9" s="206"/>
      <c r="I9" s="206"/>
      <c r="J9" s="206"/>
      <c r="K9" s="215"/>
    </row>
    <row r="10" spans="1:13" ht="18" customHeight="1" x14ac:dyDescent="0.2">
      <c r="A10" s="121"/>
      <c r="B10" s="214" t="s">
        <v>6</v>
      </c>
      <c r="C10" s="206"/>
      <c r="D10" s="206"/>
      <c r="E10" s="206"/>
      <c r="F10" s="206"/>
      <c r="G10" s="206"/>
      <c r="H10" s="206"/>
      <c r="I10" s="206"/>
      <c r="J10" s="206"/>
      <c r="K10" s="215"/>
    </row>
    <row r="11" spans="1:13" ht="54" customHeight="1" x14ac:dyDescent="0.2">
      <c r="A11" s="121"/>
      <c r="B11" s="214" t="s">
        <v>7</v>
      </c>
      <c r="C11" s="206"/>
      <c r="D11" s="215"/>
      <c r="E11" s="127" t="s">
        <v>8</v>
      </c>
      <c r="F11" s="214" t="s">
        <v>9</v>
      </c>
      <c r="G11" s="215"/>
      <c r="H11" s="216" t="s">
        <v>327</v>
      </c>
      <c r="I11" s="217"/>
      <c r="J11" s="214" t="s">
        <v>329</v>
      </c>
      <c r="K11" s="215"/>
    </row>
    <row r="12" spans="1:13" ht="6.75" customHeight="1" x14ac:dyDescent="0.2">
      <c r="A12" s="121"/>
      <c r="B12" s="121"/>
      <c r="C12" s="121"/>
      <c r="D12" s="121"/>
      <c r="E12" s="121"/>
      <c r="F12" s="124"/>
      <c r="G12" s="121"/>
      <c r="H12" s="124"/>
      <c r="I12" s="121"/>
      <c r="J12" s="121"/>
      <c r="K12" s="121"/>
    </row>
    <row r="13" spans="1:13" ht="18" customHeight="1" x14ac:dyDescent="0.2">
      <c r="A13" s="121"/>
      <c r="B13" s="218" t="s">
        <v>10</v>
      </c>
      <c r="C13" s="219" t="s">
        <v>11</v>
      </c>
      <c r="D13" s="219" t="s">
        <v>12</v>
      </c>
      <c r="E13" s="211" t="s">
        <v>13</v>
      </c>
      <c r="F13" s="211" t="s">
        <v>14</v>
      </c>
      <c r="G13" s="213" t="s">
        <v>15</v>
      </c>
      <c r="H13" s="220" t="s">
        <v>16</v>
      </c>
      <c r="I13" s="206"/>
      <c r="J13" s="206"/>
      <c r="K13" s="215"/>
    </row>
    <row r="14" spans="1:13" ht="24.75" customHeight="1" x14ac:dyDescent="0.2">
      <c r="A14" s="121"/>
      <c r="B14" s="212"/>
      <c r="C14" s="212"/>
      <c r="D14" s="212"/>
      <c r="E14" s="212"/>
      <c r="F14" s="212"/>
      <c r="G14" s="212"/>
      <c r="H14" s="128" t="s">
        <v>17</v>
      </c>
      <c r="I14" s="128" t="s">
        <v>18</v>
      </c>
      <c r="J14" s="128" t="s">
        <v>19</v>
      </c>
      <c r="K14" s="128" t="s">
        <v>20</v>
      </c>
    </row>
    <row r="15" spans="1:13" ht="4.5" customHeight="1" x14ac:dyDescent="0.2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</row>
    <row r="16" spans="1:13" s="178" customFormat="1" ht="18" customHeight="1" x14ac:dyDescent="0.2">
      <c r="A16" s="121"/>
      <c r="B16" s="129" t="s">
        <v>21</v>
      </c>
      <c r="C16" s="130"/>
      <c r="D16" s="130"/>
      <c r="E16" s="131" t="s">
        <v>22</v>
      </c>
      <c r="F16" s="132"/>
      <c r="G16" s="133"/>
      <c r="H16" s="134"/>
      <c r="I16" s="134"/>
      <c r="J16" s="135">
        <f>SUM(I17:I18)</f>
        <v>5956.482</v>
      </c>
      <c r="K16" s="136">
        <f>J16/$J$72</f>
        <v>3.8105426429484689E-2</v>
      </c>
      <c r="M16" s="185"/>
    </row>
    <row r="17" spans="1:13" s="178" customFormat="1" ht="25.5" customHeight="1" x14ac:dyDescent="0.2">
      <c r="A17" s="121"/>
      <c r="B17" s="137" t="s">
        <v>23</v>
      </c>
      <c r="C17" s="138" t="s">
        <v>35</v>
      </c>
      <c r="D17" s="175" t="s">
        <v>317</v>
      </c>
      <c r="E17" s="139" t="s">
        <v>324</v>
      </c>
      <c r="F17" s="140" t="s">
        <v>26</v>
      </c>
      <c r="G17" s="141">
        <v>4.5</v>
      </c>
      <c r="H17" s="142">
        <v>371.56</v>
      </c>
      <c r="I17" s="181">
        <f t="shared" ref="I17:I18" si="0">G17*H17</f>
        <v>1672.02</v>
      </c>
      <c r="J17" s="134"/>
      <c r="K17" s="134"/>
      <c r="M17" s="185"/>
    </row>
    <row r="18" spans="1:13" s="178" customFormat="1" ht="18" customHeight="1" x14ac:dyDescent="0.2">
      <c r="A18" s="121"/>
      <c r="B18" s="137" t="s">
        <v>27</v>
      </c>
      <c r="C18" s="138" t="s">
        <v>24</v>
      </c>
      <c r="D18" s="138">
        <v>98459</v>
      </c>
      <c r="E18" s="139" t="s">
        <v>28</v>
      </c>
      <c r="F18" s="140" t="s">
        <v>26</v>
      </c>
      <c r="G18" s="141">
        <v>54.599999999999994</v>
      </c>
      <c r="H18" s="142">
        <v>78.47</v>
      </c>
      <c r="I18" s="181">
        <f t="shared" si="0"/>
        <v>4284.4619999999995</v>
      </c>
      <c r="J18" s="134"/>
      <c r="K18" s="134"/>
      <c r="M18" s="185"/>
    </row>
    <row r="19" spans="1:13" s="178" customFormat="1" ht="18" customHeight="1" x14ac:dyDescent="0.2">
      <c r="A19" s="121"/>
      <c r="B19" s="129" t="s">
        <v>29</v>
      </c>
      <c r="C19" s="130"/>
      <c r="D19" s="130"/>
      <c r="E19" s="131" t="s">
        <v>30</v>
      </c>
      <c r="F19" s="191"/>
      <c r="G19" s="192"/>
      <c r="H19" s="193"/>
      <c r="I19" s="193"/>
      <c r="J19" s="135">
        <f>SUM(I20:I23)</f>
        <v>837.22579999999994</v>
      </c>
      <c r="K19" s="136">
        <f>J19/$J$72</f>
        <v>5.3559880021070263E-3</v>
      </c>
      <c r="M19" s="185"/>
    </row>
    <row r="20" spans="1:13" s="178" customFormat="1" ht="18" customHeight="1" x14ac:dyDescent="0.2">
      <c r="A20" s="121"/>
      <c r="B20" s="137" t="s">
        <v>31</v>
      </c>
      <c r="C20" s="138" t="s">
        <v>24</v>
      </c>
      <c r="D20" s="138">
        <v>97622</v>
      </c>
      <c r="E20" s="139" t="s">
        <v>32</v>
      </c>
      <c r="F20" s="138" t="s">
        <v>33</v>
      </c>
      <c r="G20" s="180">
        <v>7.09</v>
      </c>
      <c r="H20" s="180">
        <v>41.26</v>
      </c>
      <c r="I20" s="181">
        <f t="shared" ref="I20:I23" si="1">G20*H20</f>
        <v>292.53339999999997</v>
      </c>
      <c r="J20" s="133"/>
      <c r="K20" s="133"/>
      <c r="M20" s="185"/>
    </row>
    <row r="21" spans="1:13" s="178" customFormat="1" ht="18" customHeight="1" x14ac:dyDescent="0.2">
      <c r="A21" s="121"/>
      <c r="B21" s="137" t="s">
        <v>34</v>
      </c>
      <c r="C21" s="138" t="s">
        <v>35</v>
      </c>
      <c r="D21" s="138">
        <v>8387</v>
      </c>
      <c r="E21" s="176" t="s">
        <v>36</v>
      </c>
      <c r="F21" s="169" t="s">
        <v>26</v>
      </c>
      <c r="G21" s="180">
        <v>11.6</v>
      </c>
      <c r="H21" s="180">
        <v>18.09</v>
      </c>
      <c r="I21" s="181">
        <f t="shared" si="1"/>
        <v>209.84399999999999</v>
      </c>
      <c r="J21" s="133"/>
      <c r="K21" s="133"/>
      <c r="M21" s="185"/>
    </row>
    <row r="22" spans="1:13" s="178" customFormat="1" ht="18" customHeight="1" x14ac:dyDescent="0.2">
      <c r="A22" s="121"/>
      <c r="B22" s="137" t="s">
        <v>37</v>
      </c>
      <c r="C22" s="138" t="s">
        <v>35</v>
      </c>
      <c r="D22" s="138">
        <v>8387</v>
      </c>
      <c r="E22" s="139" t="s">
        <v>38</v>
      </c>
      <c r="F22" s="138" t="s">
        <v>26</v>
      </c>
      <c r="G22" s="180">
        <v>7.4099999999999993</v>
      </c>
      <c r="H22" s="180">
        <v>18.09</v>
      </c>
      <c r="I22" s="181">
        <f t="shared" si="1"/>
        <v>134.04689999999999</v>
      </c>
      <c r="J22" s="133"/>
      <c r="K22" s="133"/>
      <c r="M22" s="185"/>
    </row>
    <row r="23" spans="1:13" s="178" customFormat="1" ht="18" customHeight="1" x14ac:dyDescent="0.2">
      <c r="A23" s="121"/>
      <c r="B23" s="137" t="s">
        <v>39</v>
      </c>
      <c r="C23" s="138" t="s">
        <v>43</v>
      </c>
      <c r="D23" s="138" t="s">
        <v>309</v>
      </c>
      <c r="E23" s="139" t="s">
        <v>310</v>
      </c>
      <c r="F23" s="138" t="s">
        <v>33</v>
      </c>
      <c r="G23" s="180">
        <v>9.19</v>
      </c>
      <c r="H23" s="180">
        <v>21.85</v>
      </c>
      <c r="I23" s="181">
        <f t="shared" si="1"/>
        <v>200.8015</v>
      </c>
      <c r="J23" s="133"/>
      <c r="K23" s="133"/>
      <c r="M23" s="185"/>
    </row>
    <row r="24" spans="1:13" s="178" customFormat="1" ht="18" customHeight="1" x14ac:dyDescent="0.2">
      <c r="A24" s="121"/>
      <c r="B24" s="129" t="s">
        <v>40</v>
      </c>
      <c r="C24" s="130"/>
      <c r="D24" s="130"/>
      <c r="E24" s="131" t="s">
        <v>41</v>
      </c>
      <c r="F24" s="191"/>
      <c r="G24" s="192"/>
      <c r="H24" s="192"/>
      <c r="I24" s="193"/>
      <c r="J24" s="135">
        <f>SUM(I25:I33)</f>
        <v>13095.43</v>
      </c>
      <c r="K24" s="136">
        <f>J24/$J$72</f>
        <v>8.3775447391172625E-2</v>
      </c>
      <c r="M24" s="185"/>
    </row>
    <row r="25" spans="1:13" s="178" customFormat="1" ht="18" customHeight="1" x14ac:dyDescent="0.2">
      <c r="A25" s="121"/>
      <c r="B25" s="137" t="s">
        <v>42</v>
      </c>
      <c r="C25" s="138" t="s">
        <v>43</v>
      </c>
      <c r="D25" s="138" t="s">
        <v>44</v>
      </c>
      <c r="E25" s="139" t="s">
        <v>45</v>
      </c>
      <c r="F25" s="138" t="s">
        <v>46</v>
      </c>
      <c r="G25" s="141">
        <v>2</v>
      </c>
      <c r="H25" s="141">
        <v>51.24</v>
      </c>
      <c r="I25" s="181">
        <f t="shared" ref="I25:I33" si="2">G25*H25</f>
        <v>102.48</v>
      </c>
      <c r="J25" s="133"/>
      <c r="K25" s="133"/>
      <c r="M25" s="185"/>
    </row>
    <row r="26" spans="1:13" s="178" customFormat="1" ht="18" customHeight="1" x14ac:dyDescent="0.2">
      <c r="A26" s="121"/>
      <c r="B26" s="137" t="s">
        <v>47</v>
      </c>
      <c r="C26" s="143" t="s">
        <v>24</v>
      </c>
      <c r="D26" s="138">
        <v>86887</v>
      </c>
      <c r="E26" s="139" t="s">
        <v>48</v>
      </c>
      <c r="F26" s="138" t="s">
        <v>46</v>
      </c>
      <c r="G26" s="141">
        <v>16</v>
      </c>
      <c r="H26" s="141">
        <v>44.38</v>
      </c>
      <c r="I26" s="181">
        <f t="shared" si="2"/>
        <v>710.08</v>
      </c>
      <c r="J26" s="134"/>
      <c r="K26" s="134"/>
      <c r="M26" s="185"/>
    </row>
    <row r="27" spans="1:13" s="178" customFormat="1" ht="18" customHeight="1" x14ac:dyDescent="0.2">
      <c r="A27" s="121"/>
      <c r="B27" s="137" t="s">
        <v>49</v>
      </c>
      <c r="C27" s="143" t="s">
        <v>24</v>
      </c>
      <c r="D27" s="144" t="s">
        <v>311</v>
      </c>
      <c r="E27" s="139" t="s">
        <v>50</v>
      </c>
      <c r="F27" s="138" t="s">
        <v>46</v>
      </c>
      <c r="G27" s="141">
        <v>16</v>
      </c>
      <c r="H27" s="142">
        <v>168.5</v>
      </c>
      <c r="I27" s="181">
        <f t="shared" si="2"/>
        <v>2696</v>
      </c>
      <c r="J27" s="145"/>
      <c r="K27" s="145"/>
      <c r="M27" s="185"/>
    </row>
    <row r="28" spans="1:13" s="178" customFormat="1" ht="38.25" x14ac:dyDescent="0.2">
      <c r="A28" s="121"/>
      <c r="B28" s="137" t="s">
        <v>51</v>
      </c>
      <c r="C28" s="138" t="s">
        <v>43</v>
      </c>
      <c r="D28" s="138" t="s">
        <v>52</v>
      </c>
      <c r="E28" s="139" t="s">
        <v>53</v>
      </c>
      <c r="F28" s="138" t="s">
        <v>46</v>
      </c>
      <c r="G28" s="141">
        <v>7</v>
      </c>
      <c r="H28" s="141">
        <v>165.73</v>
      </c>
      <c r="I28" s="181">
        <f t="shared" si="2"/>
        <v>1160.1099999999999</v>
      </c>
      <c r="J28" s="145"/>
      <c r="K28" s="145"/>
      <c r="M28" s="185"/>
    </row>
    <row r="29" spans="1:13" s="178" customFormat="1" ht="51" x14ac:dyDescent="0.2">
      <c r="A29" s="121"/>
      <c r="B29" s="137" t="s">
        <v>54</v>
      </c>
      <c r="C29" s="138" t="s">
        <v>35</v>
      </c>
      <c r="D29" s="170" t="s">
        <v>318</v>
      </c>
      <c r="E29" s="139" t="s">
        <v>55</v>
      </c>
      <c r="F29" s="138" t="s">
        <v>46</v>
      </c>
      <c r="G29" s="141">
        <v>9</v>
      </c>
      <c r="H29" s="141">
        <v>486.17</v>
      </c>
      <c r="I29" s="181">
        <f t="shared" si="2"/>
        <v>4375.53</v>
      </c>
      <c r="J29" s="134"/>
      <c r="K29" s="134"/>
      <c r="M29" s="185"/>
    </row>
    <row r="30" spans="1:13" s="178" customFormat="1" ht="38.25" x14ac:dyDescent="0.2">
      <c r="A30" s="121"/>
      <c r="B30" s="137" t="s">
        <v>56</v>
      </c>
      <c r="C30" s="138" t="s">
        <v>43</v>
      </c>
      <c r="D30" s="138" t="s">
        <v>312</v>
      </c>
      <c r="E30" s="176" t="s">
        <v>57</v>
      </c>
      <c r="F30" s="169" t="s">
        <v>46</v>
      </c>
      <c r="G30" s="180">
        <v>7</v>
      </c>
      <c r="H30" s="141">
        <v>382.29</v>
      </c>
      <c r="I30" s="181">
        <f t="shared" si="2"/>
        <v>2676.03</v>
      </c>
      <c r="J30" s="133"/>
      <c r="K30" s="133"/>
      <c r="M30" s="185"/>
    </row>
    <row r="31" spans="1:13" s="178" customFormat="1" ht="18" customHeight="1" x14ac:dyDescent="0.2">
      <c r="A31" s="121"/>
      <c r="B31" s="137" t="s">
        <v>58</v>
      </c>
      <c r="C31" s="138" t="s">
        <v>35</v>
      </c>
      <c r="D31" s="170" t="s">
        <v>319</v>
      </c>
      <c r="E31" s="139" t="s">
        <v>59</v>
      </c>
      <c r="F31" s="138" t="s">
        <v>46</v>
      </c>
      <c r="G31" s="141">
        <v>8</v>
      </c>
      <c r="H31" s="141">
        <v>70.790000000000006</v>
      </c>
      <c r="I31" s="181">
        <f t="shared" si="2"/>
        <v>566.32000000000005</v>
      </c>
      <c r="J31" s="133"/>
      <c r="K31" s="133"/>
      <c r="M31" s="185"/>
    </row>
    <row r="32" spans="1:13" s="178" customFormat="1" ht="18" customHeight="1" x14ac:dyDescent="0.2">
      <c r="A32" s="121"/>
      <c r="B32" s="137" t="s">
        <v>60</v>
      </c>
      <c r="C32" s="138" t="s">
        <v>43</v>
      </c>
      <c r="D32" s="168" t="s">
        <v>313</v>
      </c>
      <c r="E32" s="139" t="s">
        <v>314</v>
      </c>
      <c r="F32" s="138" t="s">
        <v>46</v>
      </c>
      <c r="G32" s="141">
        <v>8</v>
      </c>
      <c r="H32" s="141">
        <v>52.74</v>
      </c>
      <c r="I32" s="181">
        <f t="shared" si="2"/>
        <v>421.92</v>
      </c>
      <c r="J32" s="133"/>
      <c r="K32" s="133"/>
      <c r="M32" s="185"/>
    </row>
    <row r="33" spans="1:13" s="178" customFormat="1" ht="18" customHeight="1" x14ac:dyDescent="0.2">
      <c r="A33" s="121"/>
      <c r="B33" s="137" t="s">
        <v>61</v>
      </c>
      <c r="C33" s="143" t="s">
        <v>24</v>
      </c>
      <c r="D33" s="143">
        <v>86877</v>
      </c>
      <c r="E33" s="139" t="s">
        <v>62</v>
      </c>
      <c r="F33" s="138" t="s">
        <v>46</v>
      </c>
      <c r="G33" s="141">
        <v>7</v>
      </c>
      <c r="H33" s="141">
        <v>55.28</v>
      </c>
      <c r="I33" s="181">
        <f t="shared" si="2"/>
        <v>386.96000000000004</v>
      </c>
      <c r="J33" s="133"/>
      <c r="K33" s="133"/>
      <c r="M33" s="185"/>
    </row>
    <row r="34" spans="1:13" s="178" customFormat="1" ht="18" customHeight="1" x14ac:dyDescent="0.2">
      <c r="A34" s="121"/>
      <c r="B34" s="129" t="s">
        <v>63</v>
      </c>
      <c r="C34" s="146"/>
      <c r="D34" s="146"/>
      <c r="E34" s="147" t="s">
        <v>64</v>
      </c>
      <c r="F34" s="191"/>
      <c r="G34" s="180"/>
      <c r="H34" s="180"/>
      <c r="I34" s="181"/>
      <c r="J34" s="135">
        <f>SUM(I35:I44)</f>
        <v>5611.73</v>
      </c>
      <c r="K34" s="136">
        <f>J34/$J$72</f>
        <v>3.5899943063226268E-2</v>
      </c>
      <c r="M34" s="185"/>
    </row>
    <row r="35" spans="1:13" s="178" customFormat="1" ht="25.5" x14ac:dyDescent="0.2">
      <c r="A35" s="121"/>
      <c r="B35" s="137" t="s">
        <v>65</v>
      </c>
      <c r="C35" s="138" t="s">
        <v>24</v>
      </c>
      <c r="D35" s="138">
        <v>91953</v>
      </c>
      <c r="E35" s="139" t="s">
        <v>66</v>
      </c>
      <c r="F35" s="138" t="s">
        <v>46</v>
      </c>
      <c r="G35" s="141">
        <v>13</v>
      </c>
      <c r="H35" s="141">
        <v>22.26</v>
      </c>
      <c r="I35" s="181">
        <f t="shared" ref="I35:I44" si="3">G35*H35</f>
        <v>289.38</v>
      </c>
      <c r="J35" s="133"/>
      <c r="K35" s="133"/>
      <c r="M35" s="185"/>
    </row>
    <row r="36" spans="1:13" s="178" customFormat="1" ht="38.25" x14ac:dyDescent="0.2">
      <c r="A36" s="121"/>
      <c r="B36" s="137" t="s">
        <v>67</v>
      </c>
      <c r="C36" s="138" t="s">
        <v>35</v>
      </c>
      <c r="D36" s="138">
        <v>12021</v>
      </c>
      <c r="E36" s="139" t="s">
        <v>68</v>
      </c>
      <c r="F36" s="138" t="s">
        <v>46</v>
      </c>
      <c r="G36" s="141">
        <v>11</v>
      </c>
      <c r="H36" s="141">
        <v>171.51</v>
      </c>
      <c r="I36" s="181">
        <f t="shared" si="3"/>
        <v>1886.61</v>
      </c>
      <c r="J36" s="133"/>
      <c r="K36" s="133"/>
      <c r="M36" s="185"/>
    </row>
    <row r="37" spans="1:13" s="178" customFormat="1" ht="38.25" x14ac:dyDescent="0.2">
      <c r="A37" s="121"/>
      <c r="B37" s="137" t="s">
        <v>69</v>
      </c>
      <c r="C37" s="138" t="s">
        <v>35</v>
      </c>
      <c r="D37" s="138">
        <v>12021</v>
      </c>
      <c r="E37" s="139" t="s">
        <v>70</v>
      </c>
      <c r="F37" s="138" t="s">
        <v>46</v>
      </c>
      <c r="G37" s="148">
        <v>2</v>
      </c>
      <c r="H37" s="141">
        <v>171.51</v>
      </c>
      <c r="I37" s="181">
        <f t="shared" si="3"/>
        <v>343.02</v>
      </c>
      <c r="J37" s="133"/>
      <c r="K37" s="133"/>
      <c r="M37" s="185"/>
    </row>
    <row r="38" spans="1:13" s="178" customFormat="1" ht="18" customHeight="1" x14ac:dyDescent="0.2">
      <c r="A38" s="121"/>
      <c r="B38" s="137" t="s">
        <v>71</v>
      </c>
      <c r="C38" s="138" t="s">
        <v>24</v>
      </c>
      <c r="D38" s="138">
        <v>97599</v>
      </c>
      <c r="E38" s="139" t="s">
        <v>72</v>
      </c>
      <c r="F38" s="138" t="s">
        <v>46</v>
      </c>
      <c r="G38" s="148">
        <v>9</v>
      </c>
      <c r="H38" s="141">
        <v>29.76</v>
      </c>
      <c r="I38" s="181">
        <f t="shared" si="3"/>
        <v>267.84000000000003</v>
      </c>
      <c r="J38" s="133"/>
      <c r="K38" s="133"/>
      <c r="M38" s="185"/>
    </row>
    <row r="39" spans="1:13" s="178" customFormat="1" ht="25.5" x14ac:dyDescent="0.2">
      <c r="A39" s="121"/>
      <c r="B39" s="137" t="s">
        <v>73</v>
      </c>
      <c r="C39" s="138" t="s">
        <v>24</v>
      </c>
      <c r="D39" s="138">
        <v>91937</v>
      </c>
      <c r="E39" s="139" t="s">
        <v>322</v>
      </c>
      <c r="F39" s="138" t="s">
        <v>46</v>
      </c>
      <c r="G39" s="141">
        <v>26</v>
      </c>
      <c r="H39" s="141">
        <v>9.6999999999999993</v>
      </c>
      <c r="I39" s="181">
        <f t="shared" si="3"/>
        <v>252.2</v>
      </c>
      <c r="J39" s="133"/>
      <c r="K39" s="133"/>
      <c r="M39" s="185"/>
    </row>
    <row r="40" spans="1:13" s="178" customFormat="1" ht="18" customHeight="1" x14ac:dyDescent="0.2">
      <c r="A40" s="121"/>
      <c r="B40" s="137" t="s">
        <v>75</v>
      </c>
      <c r="C40" s="138" t="s">
        <v>24</v>
      </c>
      <c r="D40" s="138">
        <v>91942</v>
      </c>
      <c r="E40" s="179" t="s">
        <v>323</v>
      </c>
      <c r="F40" s="138" t="s">
        <v>46</v>
      </c>
      <c r="G40" s="141">
        <v>7</v>
      </c>
      <c r="H40" s="141">
        <v>27.64</v>
      </c>
      <c r="I40" s="181">
        <f t="shared" si="3"/>
        <v>193.48000000000002</v>
      </c>
      <c r="J40" s="133"/>
      <c r="K40" s="133"/>
      <c r="M40" s="185"/>
    </row>
    <row r="41" spans="1:13" s="178" customFormat="1" ht="25.5" x14ac:dyDescent="0.2">
      <c r="A41" s="121"/>
      <c r="B41" s="137" t="s">
        <v>77</v>
      </c>
      <c r="C41" s="138" t="s">
        <v>24</v>
      </c>
      <c r="D41" s="138">
        <v>91990</v>
      </c>
      <c r="E41" s="139" t="s">
        <v>78</v>
      </c>
      <c r="F41" s="138" t="s">
        <v>46</v>
      </c>
      <c r="G41" s="141">
        <v>14</v>
      </c>
      <c r="H41" s="141">
        <v>26.26</v>
      </c>
      <c r="I41" s="181">
        <f t="shared" si="3"/>
        <v>367.64000000000004</v>
      </c>
      <c r="J41" s="133"/>
      <c r="K41" s="133"/>
      <c r="M41" s="185"/>
    </row>
    <row r="42" spans="1:13" s="178" customFormat="1" ht="25.5" customHeight="1" x14ac:dyDescent="0.2">
      <c r="A42" s="121"/>
      <c r="B42" s="137" t="s">
        <v>79</v>
      </c>
      <c r="C42" s="138" t="s">
        <v>24</v>
      </c>
      <c r="D42" s="138">
        <v>90447</v>
      </c>
      <c r="E42" s="139" t="s">
        <v>80</v>
      </c>
      <c r="F42" s="138" t="s">
        <v>81</v>
      </c>
      <c r="G42" s="148">
        <v>33</v>
      </c>
      <c r="H42" s="141">
        <v>4.9400000000000004</v>
      </c>
      <c r="I42" s="181">
        <f t="shared" si="3"/>
        <v>163.02000000000001</v>
      </c>
      <c r="J42" s="133"/>
      <c r="K42" s="133"/>
      <c r="M42" s="185"/>
    </row>
    <row r="43" spans="1:13" s="178" customFormat="1" ht="18" customHeight="1" x14ac:dyDescent="0.2">
      <c r="A43" s="121"/>
      <c r="B43" s="137" t="s">
        <v>82</v>
      </c>
      <c r="C43" s="138" t="s">
        <v>24</v>
      </c>
      <c r="D43" s="138">
        <v>93144</v>
      </c>
      <c r="E43" s="139" t="s">
        <v>83</v>
      </c>
      <c r="F43" s="138" t="s">
        <v>46</v>
      </c>
      <c r="G43" s="148">
        <v>8</v>
      </c>
      <c r="H43" s="141">
        <v>211.97</v>
      </c>
      <c r="I43" s="181">
        <f t="shared" si="3"/>
        <v>1695.76</v>
      </c>
      <c r="J43" s="133"/>
      <c r="K43" s="133"/>
      <c r="M43" s="185"/>
    </row>
    <row r="44" spans="1:13" s="178" customFormat="1" ht="25.5" x14ac:dyDescent="0.2">
      <c r="A44" s="121"/>
      <c r="B44" s="137" t="s">
        <v>84</v>
      </c>
      <c r="C44" s="138" t="s">
        <v>43</v>
      </c>
      <c r="D44" s="138" t="s">
        <v>85</v>
      </c>
      <c r="E44" s="139" t="s">
        <v>86</v>
      </c>
      <c r="F44" s="138" t="s">
        <v>46</v>
      </c>
      <c r="G44" s="148">
        <v>2</v>
      </c>
      <c r="H44" s="141">
        <v>76.39</v>
      </c>
      <c r="I44" s="181">
        <f t="shared" si="3"/>
        <v>152.78</v>
      </c>
      <c r="J44" s="133"/>
      <c r="K44" s="133"/>
      <c r="M44" s="185"/>
    </row>
    <row r="45" spans="1:13" s="178" customFormat="1" ht="18" customHeight="1" x14ac:dyDescent="0.2">
      <c r="A45" s="121"/>
      <c r="B45" s="129" t="s">
        <v>87</v>
      </c>
      <c r="C45" s="146"/>
      <c r="D45" s="146"/>
      <c r="E45" s="131" t="s">
        <v>88</v>
      </c>
      <c r="F45" s="191"/>
      <c r="G45" s="180"/>
      <c r="H45" s="180"/>
      <c r="I45" s="181"/>
      <c r="J45" s="135">
        <f>SUM(I46:I49)</f>
        <v>25931.209900000005</v>
      </c>
      <c r="K45" s="136">
        <f>J45/$J$72</f>
        <v>0.16588983414572148</v>
      </c>
      <c r="M45" s="185"/>
    </row>
    <row r="46" spans="1:13" s="178" customFormat="1" ht="18" customHeight="1" x14ac:dyDescent="0.2">
      <c r="A46" s="121"/>
      <c r="B46" s="137" t="s">
        <v>89</v>
      </c>
      <c r="C46" s="143" t="s">
        <v>24</v>
      </c>
      <c r="D46" s="143">
        <v>87527</v>
      </c>
      <c r="E46" s="176" t="s">
        <v>90</v>
      </c>
      <c r="F46" s="169" t="s">
        <v>26</v>
      </c>
      <c r="G46" s="180">
        <v>66.27</v>
      </c>
      <c r="H46" s="141">
        <v>32.380000000000003</v>
      </c>
      <c r="I46" s="181">
        <f t="shared" ref="I46:I49" si="4">G46*H46</f>
        <v>2145.8226</v>
      </c>
      <c r="J46" s="134"/>
      <c r="K46" s="134"/>
      <c r="M46" s="185"/>
    </row>
    <row r="47" spans="1:13" s="178" customFormat="1" ht="18" customHeight="1" x14ac:dyDescent="0.2">
      <c r="A47" s="121"/>
      <c r="B47" s="137" t="s">
        <v>91</v>
      </c>
      <c r="C47" s="143" t="s">
        <v>43</v>
      </c>
      <c r="D47" s="143" t="s">
        <v>92</v>
      </c>
      <c r="E47" s="176" t="s">
        <v>93</v>
      </c>
      <c r="F47" s="169" t="s">
        <v>26</v>
      </c>
      <c r="G47" s="180">
        <v>418.05000000000007</v>
      </c>
      <c r="H47" s="141">
        <v>36.22</v>
      </c>
      <c r="I47" s="181">
        <f t="shared" si="4"/>
        <v>15141.771000000002</v>
      </c>
      <c r="J47" s="133"/>
      <c r="K47" s="133"/>
      <c r="M47" s="185"/>
    </row>
    <row r="48" spans="1:13" s="178" customFormat="1" ht="18" customHeight="1" x14ac:dyDescent="0.2">
      <c r="A48" s="121"/>
      <c r="B48" s="137" t="s">
        <v>94</v>
      </c>
      <c r="C48" s="143" t="s">
        <v>24</v>
      </c>
      <c r="D48" s="143">
        <v>96113</v>
      </c>
      <c r="E48" s="176" t="s">
        <v>95</v>
      </c>
      <c r="F48" s="138" t="s">
        <v>26</v>
      </c>
      <c r="G48" s="180">
        <v>119.96000000000001</v>
      </c>
      <c r="H48" s="141">
        <v>32.869999999999997</v>
      </c>
      <c r="I48" s="181">
        <f t="shared" si="4"/>
        <v>3943.0852</v>
      </c>
      <c r="J48" s="133"/>
      <c r="K48" s="133"/>
      <c r="M48" s="185"/>
    </row>
    <row r="49" spans="1:13" s="178" customFormat="1" ht="25.5" x14ac:dyDescent="0.2">
      <c r="A49" s="121"/>
      <c r="B49" s="137" t="s">
        <v>96</v>
      </c>
      <c r="C49" s="138" t="s">
        <v>43</v>
      </c>
      <c r="D49" s="138" t="s">
        <v>97</v>
      </c>
      <c r="E49" s="139" t="s">
        <v>98</v>
      </c>
      <c r="F49" s="138" t="s">
        <v>26</v>
      </c>
      <c r="G49" s="180">
        <v>66.27</v>
      </c>
      <c r="H49" s="141">
        <v>70.930000000000007</v>
      </c>
      <c r="I49" s="181">
        <f t="shared" si="4"/>
        <v>4700.5311000000002</v>
      </c>
      <c r="J49" s="133"/>
      <c r="K49" s="133"/>
      <c r="M49" s="185"/>
    </row>
    <row r="50" spans="1:13" s="178" customFormat="1" ht="18" customHeight="1" x14ac:dyDescent="0.2">
      <c r="A50" s="121"/>
      <c r="B50" s="129" t="s">
        <v>99</v>
      </c>
      <c r="C50" s="146"/>
      <c r="D50" s="146"/>
      <c r="E50" s="131" t="s">
        <v>100</v>
      </c>
      <c r="F50" s="191"/>
      <c r="G50" s="180"/>
      <c r="H50" s="180"/>
      <c r="I50" s="181"/>
      <c r="J50" s="135">
        <f>SUM(I51:I52)</f>
        <v>17179.610999999997</v>
      </c>
      <c r="K50" s="136">
        <f>J50/$J$72</f>
        <v>0.10990319504829626</v>
      </c>
      <c r="M50" s="185"/>
    </row>
    <row r="51" spans="1:13" s="178" customFormat="1" ht="18" customHeight="1" x14ac:dyDescent="0.2">
      <c r="A51" s="121"/>
      <c r="B51" s="138" t="s">
        <v>101</v>
      </c>
      <c r="C51" s="143" t="s">
        <v>43</v>
      </c>
      <c r="D51" s="143" t="s">
        <v>102</v>
      </c>
      <c r="E51" s="139" t="s">
        <v>103</v>
      </c>
      <c r="F51" s="138" t="s">
        <v>26</v>
      </c>
      <c r="G51" s="141">
        <v>37.93</v>
      </c>
      <c r="H51" s="141">
        <v>22.34</v>
      </c>
      <c r="I51" s="181">
        <f t="shared" ref="I51:I52" si="5">G51*H51</f>
        <v>847.35619999999994</v>
      </c>
      <c r="J51" s="133"/>
      <c r="K51" s="133"/>
      <c r="M51" s="185"/>
    </row>
    <row r="52" spans="1:13" s="178" customFormat="1" ht="25.5" x14ac:dyDescent="0.2">
      <c r="A52" s="121"/>
      <c r="B52" s="138" t="s">
        <v>104</v>
      </c>
      <c r="C52" s="143" t="s">
        <v>43</v>
      </c>
      <c r="D52" s="169" t="s">
        <v>315</v>
      </c>
      <c r="E52" s="176" t="s">
        <v>105</v>
      </c>
      <c r="F52" s="169" t="s">
        <v>26</v>
      </c>
      <c r="G52" s="180">
        <v>126.44</v>
      </c>
      <c r="H52" s="141">
        <v>129.16999999999999</v>
      </c>
      <c r="I52" s="181">
        <f t="shared" si="5"/>
        <v>16332.254799999999</v>
      </c>
      <c r="J52" s="133"/>
      <c r="K52" s="133"/>
      <c r="M52" s="185"/>
    </row>
    <row r="53" spans="1:13" s="178" customFormat="1" ht="18" customHeight="1" x14ac:dyDescent="0.2">
      <c r="A53" s="121"/>
      <c r="B53" s="129" t="s">
        <v>106</v>
      </c>
      <c r="C53" s="146"/>
      <c r="D53" s="146"/>
      <c r="E53" s="131" t="s">
        <v>107</v>
      </c>
      <c r="F53" s="191"/>
      <c r="G53" s="180"/>
      <c r="H53" s="141"/>
      <c r="I53" s="181"/>
      <c r="J53" s="135">
        <f>SUM(I54:I55)</f>
        <v>44520.237800000003</v>
      </c>
      <c r="K53" s="136">
        <f>J53/$J$72</f>
        <v>0.28480949763821389</v>
      </c>
      <c r="M53" s="185"/>
    </row>
    <row r="54" spans="1:13" s="178" customFormat="1" ht="25.5" x14ac:dyDescent="0.2">
      <c r="A54" s="121"/>
      <c r="B54" s="137" t="s">
        <v>108</v>
      </c>
      <c r="C54" s="143" t="s">
        <v>43</v>
      </c>
      <c r="D54" s="169" t="s">
        <v>316</v>
      </c>
      <c r="E54" s="139" t="s">
        <v>109</v>
      </c>
      <c r="F54" s="138" t="s">
        <v>26</v>
      </c>
      <c r="G54" s="141">
        <v>418.05</v>
      </c>
      <c r="H54" s="183">
        <v>102.3</v>
      </c>
      <c r="I54" s="181">
        <f t="shared" ref="I54:I55" si="6">G54*H54</f>
        <v>42766.514999999999</v>
      </c>
      <c r="J54" s="133"/>
      <c r="K54" s="133"/>
      <c r="M54" s="185"/>
    </row>
    <row r="55" spans="1:13" s="178" customFormat="1" ht="38.25" x14ac:dyDescent="0.2">
      <c r="A55" s="121"/>
      <c r="B55" s="137" t="s">
        <v>110</v>
      </c>
      <c r="C55" s="143" t="s">
        <v>24</v>
      </c>
      <c r="D55" s="143">
        <v>88488</v>
      </c>
      <c r="E55" s="176" t="s">
        <v>111</v>
      </c>
      <c r="F55" s="169" t="s">
        <v>26</v>
      </c>
      <c r="G55" s="141">
        <v>126.44</v>
      </c>
      <c r="H55" s="183">
        <v>13.87</v>
      </c>
      <c r="I55" s="181">
        <f t="shared" si="6"/>
        <v>1753.7227999999998</v>
      </c>
      <c r="J55" s="133"/>
      <c r="K55" s="133"/>
      <c r="M55" s="185"/>
    </row>
    <row r="56" spans="1:13" s="178" customFormat="1" ht="18" customHeight="1" x14ac:dyDescent="0.2">
      <c r="A56" s="121"/>
      <c r="B56" s="129" t="s">
        <v>112</v>
      </c>
      <c r="C56" s="146"/>
      <c r="D56" s="146"/>
      <c r="E56" s="131" t="s">
        <v>113</v>
      </c>
      <c r="F56" s="191"/>
      <c r="G56" s="180"/>
      <c r="H56" s="180"/>
      <c r="I56" s="181"/>
      <c r="J56" s="135">
        <f>SUM(I57:I59)</f>
        <v>20286.661500000002</v>
      </c>
      <c r="K56" s="136">
        <f>J56/$J$72</f>
        <v>0.12977994179922137</v>
      </c>
      <c r="M56" s="185"/>
    </row>
    <row r="57" spans="1:13" s="178" customFormat="1" ht="51" x14ac:dyDescent="0.2">
      <c r="A57" s="121"/>
      <c r="B57" s="137" t="s">
        <v>114</v>
      </c>
      <c r="C57" s="149" t="s">
        <v>43</v>
      </c>
      <c r="D57" s="149" t="s">
        <v>115</v>
      </c>
      <c r="E57" s="139" t="s">
        <v>116</v>
      </c>
      <c r="F57" s="138" t="s">
        <v>26</v>
      </c>
      <c r="G57" s="141">
        <v>3.36</v>
      </c>
      <c r="H57" s="183">
        <f>859.89+60.14</f>
        <v>920.03</v>
      </c>
      <c r="I57" s="181">
        <f t="shared" ref="I57:I59" si="7">G57*H57</f>
        <v>3091.3008</v>
      </c>
      <c r="J57" s="134"/>
      <c r="K57" s="134"/>
      <c r="M57" s="186">
        <f>(2*2.1*0.8+2*2.1*0.03+2*0.8*0.03)*52.93+711.63</f>
        <v>898.68462</v>
      </c>
    </row>
    <row r="58" spans="1:13" s="178" customFormat="1" ht="51" x14ac:dyDescent="0.2">
      <c r="A58" s="121"/>
      <c r="B58" s="137" t="s">
        <v>117</v>
      </c>
      <c r="C58" s="149" t="s">
        <v>43</v>
      </c>
      <c r="D58" s="149" t="s">
        <v>115</v>
      </c>
      <c r="E58" s="139" t="s">
        <v>118</v>
      </c>
      <c r="F58" s="138" t="s">
        <v>26</v>
      </c>
      <c r="G58" s="141">
        <v>1.89</v>
      </c>
      <c r="H58" s="183">
        <f>859.89+60.14</f>
        <v>920.03</v>
      </c>
      <c r="I58" s="181">
        <f t="shared" si="7"/>
        <v>1738.8566999999998</v>
      </c>
      <c r="J58" s="133"/>
      <c r="K58" s="133"/>
      <c r="M58" s="186">
        <f>(2*2.1*0.9+2*2.1*0.03+2*0.9*0.03)*52.93+711.63</f>
        <v>921.2328</v>
      </c>
    </row>
    <row r="59" spans="1:13" s="178" customFormat="1" ht="38.25" x14ac:dyDescent="0.2">
      <c r="A59" s="121"/>
      <c r="B59" s="137" t="s">
        <v>119</v>
      </c>
      <c r="C59" s="149" t="s">
        <v>43</v>
      </c>
      <c r="D59" s="149" t="s">
        <v>115</v>
      </c>
      <c r="E59" s="139" t="s">
        <v>120</v>
      </c>
      <c r="F59" s="138" t="s">
        <v>26</v>
      </c>
      <c r="G59" s="141">
        <v>16.8</v>
      </c>
      <c r="H59" s="183">
        <f>859.89+60.14</f>
        <v>920.03</v>
      </c>
      <c r="I59" s="181">
        <f t="shared" si="7"/>
        <v>15456.504000000001</v>
      </c>
      <c r="J59" s="133"/>
      <c r="K59" s="133"/>
      <c r="M59" s="186">
        <f>(2*2.1*1+2*2.1*0.03+2*1*0.03)*52.93+711.63</f>
        <v>943.78098</v>
      </c>
    </row>
    <row r="60" spans="1:13" s="178" customFormat="1" ht="18" customHeight="1" x14ac:dyDescent="0.2">
      <c r="A60" s="121"/>
      <c r="B60" s="129" t="s">
        <v>121</v>
      </c>
      <c r="C60" s="150"/>
      <c r="D60" s="150"/>
      <c r="E60" s="131" t="s">
        <v>122</v>
      </c>
      <c r="F60" s="191"/>
      <c r="G60" s="180"/>
      <c r="H60" s="180"/>
      <c r="I60" s="181"/>
      <c r="J60" s="135">
        <f>SUM(I61:I70)</f>
        <v>22897.258799999996</v>
      </c>
      <c r="K60" s="136">
        <f>J60/$J$72</f>
        <v>0.14648072648255644</v>
      </c>
      <c r="M60" s="187"/>
    </row>
    <row r="61" spans="1:13" s="178" customFormat="1" ht="18" customHeight="1" x14ac:dyDescent="0.2">
      <c r="A61" s="121"/>
      <c r="B61" s="137" t="s">
        <v>123</v>
      </c>
      <c r="C61" s="143" t="s">
        <v>35</v>
      </c>
      <c r="D61" s="171" t="s">
        <v>320</v>
      </c>
      <c r="E61" s="139" t="s">
        <v>124</v>
      </c>
      <c r="F61" s="138" t="s">
        <v>26</v>
      </c>
      <c r="G61" s="141">
        <v>10</v>
      </c>
      <c r="H61" s="141">
        <v>219.79</v>
      </c>
      <c r="I61" s="181">
        <f t="shared" ref="I61:I70" si="8">G61*H61</f>
        <v>2197.9</v>
      </c>
      <c r="J61" s="133"/>
      <c r="K61" s="133"/>
      <c r="M61" s="188">
        <f>62.17/0.17</f>
        <v>365.70588235294116</v>
      </c>
    </row>
    <row r="62" spans="1:13" s="178" customFormat="1" ht="18" customHeight="1" x14ac:dyDescent="0.2">
      <c r="A62" s="121"/>
      <c r="B62" s="137" t="s">
        <v>125</v>
      </c>
      <c r="C62" s="143" t="s">
        <v>35</v>
      </c>
      <c r="D62" s="171" t="s">
        <v>321</v>
      </c>
      <c r="E62" s="177" t="s">
        <v>126</v>
      </c>
      <c r="F62" s="138" t="s">
        <v>26</v>
      </c>
      <c r="G62" s="180">
        <v>0.72</v>
      </c>
      <c r="H62" s="181">
        <v>529.44000000000005</v>
      </c>
      <c r="I62" s="181">
        <f t="shared" si="8"/>
        <v>381.19680000000005</v>
      </c>
      <c r="J62" s="134"/>
      <c r="K62" s="134"/>
      <c r="M62" s="189">
        <v>297.89999999999998</v>
      </c>
    </row>
    <row r="63" spans="1:13" s="178" customFormat="1" ht="25.5" x14ac:dyDescent="0.2">
      <c r="A63" s="121"/>
      <c r="B63" s="137" t="s">
        <v>127</v>
      </c>
      <c r="C63" s="143" t="s">
        <v>35</v>
      </c>
      <c r="D63" s="171" t="s">
        <v>321</v>
      </c>
      <c r="E63" s="177" t="s">
        <v>128</v>
      </c>
      <c r="F63" s="138" t="s">
        <v>26</v>
      </c>
      <c r="G63" s="180">
        <v>2.98</v>
      </c>
      <c r="H63" s="181">
        <v>529.44000000000005</v>
      </c>
      <c r="I63" s="181">
        <f t="shared" si="8"/>
        <v>1577.7312000000002</v>
      </c>
      <c r="J63" s="133"/>
      <c r="K63" s="133"/>
      <c r="M63" s="189">
        <v>297.3</v>
      </c>
    </row>
    <row r="64" spans="1:13" s="178" customFormat="1" ht="25.5" x14ac:dyDescent="0.2">
      <c r="A64" s="121"/>
      <c r="B64" s="137" t="s">
        <v>129</v>
      </c>
      <c r="C64" s="143" t="s">
        <v>35</v>
      </c>
      <c r="D64" s="171" t="s">
        <v>321</v>
      </c>
      <c r="E64" s="176" t="s">
        <v>130</v>
      </c>
      <c r="F64" s="138" t="s">
        <v>26</v>
      </c>
      <c r="G64" s="180">
        <v>4.38</v>
      </c>
      <c r="H64" s="181">
        <v>529.44000000000005</v>
      </c>
      <c r="I64" s="181">
        <f t="shared" si="8"/>
        <v>2318.9472000000001</v>
      </c>
      <c r="J64" s="133"/>
      <c r="K64" s="133"/>
      <c r="M64" s="188">
        <v>261.49</v>
      </c>
    </row>
    <row r="65" spans="1:13" s="178" customFormat="1" ht="25.5" x14ac:dyDescent="0.2">
      <c r="A65" s="121"/>
      <c r="B65" s="137" t="s">
        <v>220</v>
      </c>
      <c r="C65" s="143" t="s">
        <v>35</v>
      </c>
      <c r="D65" s="143" t="str">
        <f>D63</f>
        <v>01996</v>
      </c>
      <c r="E65" s="176" t="s">
        <v>132</v>
      </c>
      <c r="F65" s="138" t="s">
        <v>26</v>
      </c>
      <c r="G65" s="180">
        <v>2.63</v>
      </c>
      <c r="H65" s="181">
        <v>529.44000000000005</v>
      </c>
      <c r="I65" s="181">
        <f t="shared" si="8"/>
        <v>1392.4272000000001</v>
      </c>
      <c r="J65" s="151"/>
      <c r="K65" s="151"/>
      <c r="M65" s="189">
        <f>M63</f>
        <v>297.3</v>
      </c>
    </row>
    <row r="66" spans="1:13" s="178" customFormat="1" ht="25.5" x14ac:dyDescent="0.2">
      <c r="A66" s="121"/>
      <c r="B66" s="137" t="s">
        <v>131</v>
      </c>
      <c r="C66" s="143" t="s">
        <v>35</v>
      </c>
      <c r="D66" s="143" t="str">
        <f>D64</f>
        <v>01996</v>
      </c>
      <c r="E66" s="176" t="s">
        <v>135</v>
      </c>
      <c r="F66" s="138" t="s">
        <v>26</v>
      </c>
      <c r="G66" s="180">
        <v>0.72000000000000008</v>
      </c>
      <c r="H66" s="181">
        <v>529.44000000000005</v>
      </c>
      <c r="I66" s="181">
        <f t="shared" si="8"/>
        <v>381.19680000000011</v>
      </c>
      <c r="J66" s="151"/>
      <c r="K66" s="151"/>
      <c r="M66" s="190">
        <v>666.38</v>
      </c>
    </row>
    <row r="67" spans="1:13" s="178" customFormat="1" ht="25.5" x14ac:dyDescent="0.2">
      <c r="A67" s="121"/>
      <c r="B67" s="137" t="s">
        <v>133</v>
      </c>
      <c r="C67" s="143" t="s">
        <v>35</v>
      </c>
      <c r="D67" s="143">
        <v>9684</v>
      </c>
      <c r="E67" s="176" t="s">
        <v>137</v>
      </c>
      <c r="F67" s="138" t="s">
        <v>46</v>
      </c>
      <c r="G67" s="180">
        <v>8</v>
      </c>
      <c r="H67" s="182">
        <v>488.55</v>
      </c>
      <c r="I67" s="181">
        <f t="shared" si="8"/>
        <v>3908.4</v>
      </c>
      <c r="J67" s="134"/>
      <c r="K67" s="134"/>
      <c r="M67" s="190">
        <v>384.77</v>
      </c>
    </row>
    <row r="68" spans="1:13" s="178" customFormat="1" ht="25.5" x14ac:dyDescent="0.2">
      <c r="A68" s="121"/>
      <c r="B68" s="137" t="s">
        <v>136</v>
      </c>
      <c r="C68" s="143" t="s">
        <v>43</v>
      </c>
      <c r="D68" s="143" t="s">
        <v>134</v>
      </c>
      <c r="E68" s="176" t="s">
        <v>139</v>
      </c>
      <c r="F68" s="138" t="s">
        <v>26</v>
      </c>
      <c r="G68" s="180">
        <v>13.36</v>
      </c>
      <c r="H68" s="180">
        <v>736.39</v>
      </c>
      <c r="I68" s="181">
        <f t="shared" si="8"/>
        <v>9838.1703999999991</v>
      </c>
      <c r="J68" s="133"/>
      <c r="K68" s="133"/>
      <c r="M68" s="187">
        <v>666.38</v>
      </c>
    </row>
    <row r="69" spans="1:13" s="178" customFormat="1" ht="18" customHeight="1" x14ac:dyDescent="0.2">
      <c r="A69" s="121"/>
      <c r="B69" s="137" t="s">
        <v>138</v>
      </c>
      <c r="C69" s="143" t="s">
        <v>35</v>
      </c>
      <c r="D69" s="143">
        <v>2450</v>
      </c>
      <c r="E69" s="152" t="s">
        <v>141</v>
      </c>
      <c r="F69" s="138" t="s">
        <v>26</v>
      </c>
      <c r="G69" s="180">
        <v>144.76</v>
      </c>
      <c r="H69" s="180">
        <v>2.17</v>
      </c>
      <c r="I69" s="181">
        <f t="shared" si="8"/>
        <v>314.12919999999997</v>
      </c>
      <c r="J69" s="133"/>
      <c r="K69" s="133"/>
      <c r="M69" s="187">
        <v>1.78</v>
      </c>
    </row>
    <row r="70" spans="1:13" s="178" customFormat="1" ht="25.5" x14ac:dyDescent="0.2">
      <c r="A70" s="121"/>
      <c r="B70" s="137" t="s">
        <v>140</v>
      </c>
      <c r="C70" s="143" t="s">
        <v>35</v>
      </c>
      <c r="D70" s="138">
        <v>6970</v>
      </c>
      <c r="E70" s="152" t="s">
        <v>325</v>
      </c>
      <c r="F70" s="138" t="s">
        <v>46</v>
      </c>
      <c r="G70" s="180">
        <v>7</v>
      </c>
      <c r="H70" s="180">
        <v>83.88</v>
      </c>
      <c r="I70" s="181">
        <f t="shared" si="8"/>
        <v>587.16</v>
      </c>
      <c r="J70" s="133"/>
      <c r="K70" s="133"/>
      <c r="M70" s="187">
        <v>547.67999999999995</v>
      </c>
    </row>
    <row r="71" spans="1:13" ht="4.5" customHeight="1" x14ac:dyDescent="0.2">
      <c r="A71" s="121"/>
      <c r="B71" s="153"/>
      <c r="C71" s="153"/>
      <c r="D71" s="153"/>
      <c r="E71" s="153"/>
      <c r="F71" s="154"/>
      <c r="G71" s="155"/>
      <c r="H71" s="155"/>
      <c r="I71" s="155"/>
      <c r="J71" s="155"/>
      <c r="K71" s="156"/>
    </row>
    <row r="72" spans="1:13" ht="18" customHeight="1" x14ac:dyDescent="0.2">
      <c r="A72" s="121"/>
      <c r="B72" s="205" t="s">
        <v>143</v>
      </c>
      <c r="C72" s="206"/>
      <c r="D72" s="206"/>
      <c r="E72" s="207"/>
      <c r="F72" s="157"/>
      <c r="G72" s="141"/>
      <c r="H72" s="141"/>
      <c r="I72" s="158">
        <f>SUM(I16:I70)</f>
        <v>156315.8468</v>
      </c>
      <c r="J72" s="158">
        <f t="shared" ref="J72" si="9">SUM(J16:J70)</f>
        <v>156315.8468</v>
      </c>
      <c r="K72" s="159">
        <f t="shared" ref="K72" si="10">SUM(K16:K70)</f>
        <v>1</v>
      </c>
    </row>
    <row r="73" spans="1:13" ht="4.5" customHeight="1" x14ac:dyDescent="0.2">
      <c r="A73" s="121"/>
      <c r="B73" s="160"/>
      <c r="C73" s="161"/>
      <c r="D73" s="161"/>
      <c r="E73" s="160"/>
      <c r="F73" s="162"/>
      <c r="G73" s="163"/>
      <c r="H73" s="163"/>
      <c r="I73" s="163"/>
      <c r="J73" s="163"/>
      <c r="K73" s="164"/>
    </row>
    <row r="74" spans="1:13" ht="18" customHeight="1" x14ac:dyDescent="0.2">
      <c r="A74" s="121"/>
      <c r="B74" s="205" t="s">
        <v>144</v>
      </c>
      <c r="C74" s="206"/>
      <c r="D74" s="206"/>
      <c r="E74" s="207"/>
      <c r="F74" s="157"/>
      <c r="G74" s="141"/>
      <c r="H74" s="141"/>
      <c r="I74" s="158">
        <f t="shared" ref="I74" si="11">I72*0.25</f>
        <v>39078.9617</v>
      </c>
      <c r="J74" s="158">
        <f t="shared" ref="J74" si="12">J72*0.25</f>
        <v>39078.9617</v>
      </c>
      <c r="K74" s="158"/>
    </row>
    <row r="75" spans="1:13" ht="4.5" customHeight="1" x14ac:dyDescent="0.2">
      <c r="A75" s="121"/>
      <c r="B75" s="124"/>
      <c r="C75" s="124"/>
      <c r="D75" s="124"/>
      <c r="E75" s="165"/>
      <c r="F75" s="166"/>
      <c r="G75" s="163"/>
      <c r="H75" s="163"/>
      <c r="I75" s="163"/>
      <c r="J75" s="163"/>
      <c r="K75" s="167"/>
    </row>
    <row r="76" spans="1:13" ht="18" customHeight="1" x14ac:dyDescent="0.2">
      <c r="A76" s="121"/>
      <c r="B76" s="205" t="s">
        <v>145</v>
      </c>
      <c r="C76" s="206"/>
      <c r="D76" s="206"/>
      <c r="E76" s="207"/>
      <c r="F76" s="157"/>
      <c r="G76" s="141"/>
      <c r="H76" s="141"/>
      <c r="I76" s="158">
        <f t="shared" ref="I76" si="13">SUM(I72:I74)</f>
        <v>195394.80849999998</v>
      </c>
      <c r="J76" s="158">
        <f t="shared" ref="J76" si="14">SUM(J72:J74)</f>
        <v>195394.80849999998</v>
      </c>
      <c r="K76" s="158">
        <f>J76/G69</f>
        <v>1349.7845295661784</v>
      </c>
    </row>
    <row r="77" spans="1:13" ht="16.5" customHeight="1" x14ac:dyDescent="0.2">
      <c r="A77" s="121"/>
      <c r="B77" s="208" t="s">
        <v>326</v>
      </c>
      <c r="C77" s="209"/>
      <c r="D77" s="209"/>
      <c r="E77" s="209"/>
      <c r="F77" s="209"/>
      <c r="G77" s="209"/>
      <c r="H77" s="209"/>
      <c r="I77" s="209"/>
      <c r="J77" s="209"/>
      <c r="K77" s="209"/>
    </row>
    <row r="78" spans="1:13" ht="16.5" customHeight="1" x14ac:dyDescent="0.2">
      <c r="A78" s="121"/>
      <c r="B78" s="209"/>
      <c r="C78" s="209"/>
      <c r="D78" s="209"/>
      <c r="E78" s="209"/>
      <c r="F78" s="209"/>
      <c r="G78" s="209"/>
      <c r="H78" s="209"/>
      <c r="I78" s="209"/>
      <c r="J78" s="209"/>
      <c r="K78" s="209"/>
    </row>
    <row r="79" spans="1:13" ht="16.5" customHeight="1" x14ac:dyDescent="0.2">
      <c r="A79" s="121"/>
      <c r="B79" s="209"/>
      <c r="C79" s="209"/>
      <c r="D79" s="209"/>
      <c r="E79" s="209"/>
      <c r="F79" s="209"/>
      <c r="G79" s="209"/>
      <c r="H79" s="209"/>
      <c r="I79" s="209"/>
      <c r="J79" s="209"/>
      <c r="K79" s="209"/>
    </row>
    <row r="80" spans="1:13" ht="16.5" customHeight="1" x14ac:dyDescent="0.2">
      <c r="A80" s="121"/>
      <c r="B80" s="210" t="s">
        <v>146</v>
      </c>
      <c r="C80" s="203"/>
      <c r="D80" s="203"/>
      <c r="E80" s="203"/>
      <c r="F80" s="203"/>
      <c r="G80" s="203"/>
      <c r="H80" s="203"/>
      <c r="I80" s="203"/>
      <c r="J80" s="203"/>
      <c r="K80" s="203"/>
    </row>
    <row r="81" spans="1:11" ht="16.5" customHeight="1" x14ac:dyDescent="0.2">
      <c r="A81" s="121"/>
      <c r="B81" s="202" t="s">
        <v>147</v>
      </c>
      <c r="C81" s="203"/>
      <c r="D81" s="203"/>
      <c r="E81" s="203"/>
      <c r="F81" s="203"/>
      <c r="G81" s="204" t="s">
        <v>148</v>
      </c>
      <c r="H81" s="203"/>
      <c r="I81" s="203"/>
      <c r="J81" s="203"/>
      <c r="K81" s="203"/>
    </row>
    <row r="82" spans="1:11" ht="16.5" customHeight="1" x14ac:dyDescent="0.2">
      <c r="A82" s="121"/>
      <c r="B82" s="202" t="s">
        <v>149</v>
      </c>
      <c r="C82" s="203"/>
      <c r="D82" s="203"/>
      <c r="E82" s="203"/>
      <c r="F82" s="203"/>
      <c r="G82" s="204" t="s">
        <v>150</v>
      </c>
      <c r="H82" s="203"/>
      <c r="I82" s="203"/>
      <c r="J82" s="203"/>
      <c r="K82" s="203"/>
    </row>
    <row r="83" spans="1:11" ht="16.5" customHeight="1" x14ac:dyDescent="0.2">
      <c r="A83" s="121"/>
      <c r="B83" s="202" t="s">
        <v>151</v>
      </c>
      <c r="C83" s="203"/>
      <c r="D83" s="203"/>
      <c r="E83" s="203"/>
      <c r="F83" s="203"/>
      <c r="G83" s="204" t="s">
        <v>152</v>
      </c>
      <c r="H83" s="203"/>
      <c r="I83" s="203"/>
      <c r="J83" s="203"/>
      <c r="K83" s="203"/>
    </row>
    <row r="84" spans="1:11" ht="12.75" customHeight="1" x14ac:dyDescent="0.2">
      <c r="A84" s="121"/>
      <c r="B84" s="121"/>
      <c r="C84" s="121"/>
      <c r="D84" s="121"/>
      <c r="E84" s="121"/>
      <c r="F84" s="121"/>
      <c r="G84" s="121"/>
      <c r="H84" s="121"/>
      <c r="I84" s="121"/>
      <c r="J84" s="121"/>
      <c r="K84" s="121"/>
    </row>
    <row r="85" spans="1:11" ht="12.75" customHeight="1" x14ac:dyDescent="0.2">
      <c r="A85" s="121"/>
      <c r="B85" s="121"/>
      <c r="C85" s="121"/>
      <c r="D85" s="121"/>
      <c r="E85" s="121"/>
      <c r="F85" s="121"/>
      <c r="G85" s="121"/>
      <c r="H85" s="121"/>
      <c r="I85" s="121"/>
      <c r="J85" s="121"/>
      <c r="K85" s="121"/>
    </row>
    <row r="86" spans="1:11" ht="12.75" customHeight="1" x14ac:dyDescent="0.2">
      <c r="A86" s="121"/>
      <c r="B86" s="121"/>
      <c r="C86" s="121"/>
      <c r="D86" s="121"/>
      <c r="E86" s="121"/>
      <c r="F86" s="121"/>
      <c r="G86" s="121"/>
      <c r="H86" s="121"/>
      <c r="I86" s="121"/>
      <c r="J86" s="121"/>
      <c r="K86" s="121"/>
    </row>
    <row r="87" spans="1:11" ht="12.75" customHeight="1" x14ac:dyDescent="0.2">
      <c r="A87" s="121"/>
      <c r="B87" s="121"/>
      <c r="C87" s="121"/>
      <c r="D87" s="121"/>
      <c r="E87" s="121"/>
      <c r="F87" s="121"/>
      <c r="G87" s="121"/>
      <c r="H87" s="121"/>
      <c r="I87" s="121"/>
      <c r="J87" s="121"/>
      <c r="K87" s="121"/>
    </row>
    <row r="88" spans="1:11" ht="12.75" customHeight="1" x14ac:dyDescent="0.2">
      <c r="A88" s="121"/>
      <c r="B88" s="121"/>
      <c r="C88" s="121"/>
      <c r="D88" s="121"/>
      <c r="E88" s="121"/>
      <c r="F88" s="121"/>
      <c r="G88" s="121"/>
      <c r="H88" s="121"/>
      <c r="I88" s="121"/>
      <c r="J88" s="121"/>
      <c r="K88" s="121"/>
    </row>
    <row r="89" spans="1:11" ht="12.75" customHeight="1" x14ac:dyDescent="0.2">
      <c r="A89" s="121"/>
      <c r="B89" s="121"/>
      <c r="C89" s="121"/>
      <c r="D89" s="121"/>
      <c r="E89" s="121"/>
      <c r="F89" s="121"/>
      <c r="G89" s="121"/>
      <c r="H89" s="121"/>
      <c r="I89" s="121"/>
      <c r="J89" s="121"/>
      <c r="K89" s="121"/>
    </row>
    <row r="90" spans="1:11" ht="12.75" customHeight="1" x14ac:dyDescent="0.2">
      <c r="A90" s="121"/>
      <c r="B90" s="121"/>
      <c r="C90" s="121"/>
      <c r="D90" s="121"/>
      <c r="E90" s="121"/>
      <c r="F90" s="121"/>
      <c r="G90" s="121"/>
      <c r="H90" s="121"/>
      <c r="I90" s="121"/>
      <c r="J90" s="121"/>
      <c r="K90" s="121"/>
    </row>
    <row r="91" spans="1:11" ht="12.75" customHeight="1" x14ac:dyDescent="0.2">
      <c r="A91" s="121"/>
      <c r="B91" s="121"/>
      <c r="C91" s="121"/>
      <c r="D91" s="121"/>
      <c r="E91" s="121"/>
      <c r="F91" s="121"/>
      <c r="G91" s="121"/>
      <c r="H91" s="121"/>
      <c r="I91" s="121"/>
      <c r="J91" s="121"/>
      <c r="K91" s="121"/>
    </row>
    <row r="92" spans="1:11" ht="12.75" customHeight="1" x14ac:dyDescent="0.2">
      <c r="A92" s="121"/>
      <c r="B92" s="121"/>
      <c r="C92" s="121"/>
      <c r="D92" s="121"/>
      <c r="E92" s="121"/>
      <c r="F92" s="121"/>
      <c r="G92" s="121"/>
      <c r="H92" s="121"/>
      <c r="I92" s="121"/>
      <c r="J92" s="121"/>
      <c r="K92" s="121"/>
    </row>
    <row r="93" spans="1:11" ht="12.75" customHeight="1" x14ac:dyDescent="0.2">
      <c r="A93" s="121"/>
      <c r="B93" s="121"/>
      <c r="C93" s="121"/>
      <c r="D93" s="121"/>
      <c r="E93" s="121"/>
      <c r="F93" s="121"/>
      <c r="G93" s="121"/>
      <c r="H93" s="121"/>
      <c r="I93" s="121"/>
      <c r="J93" s="121"/>
      <c r="K93" s="121"/>
    </row>
    <row r="94" spans="1:11" ht="12.75" customHeight="1" x14ac:dyDescent="0.2">
      <c r="A94" s="121"/>
      <c r="B94" s="121"/>
      <c r="C94" s="121"/>
      <c r="D94" s="121"/>
      <c r="E94" s="121"/>
      <c r="F94" s="121"/>
      <c r="G94" s="121"/>
      <c r="H94" s="121"/>
      <c r="I94" s="121"/>
      <c r="J94" s="121"/>
      <c r="K94" s="121"/>
    </row>
    <row r="95" spans="1:11" ht="12.75" customHeight="1" x14ac:dyDescent="0.2">
      <c r="A95" s="121"/>
      <c r="B95" s="121"/>
      <c r="C95" s="121"/>
      <c r="D95" s="121"/>
      <c r="E95" s="121"/>
      <c r="F95" s="121"/>
      <c r="G95" s="121"/>
      <c r="H95" s="121"/>
      <c r="I95" s="121"/>
      <c r="J95" s="121"/>
      <c r="K95" s="121"/>
    </row>
    <row r="96" spans="1:11" ht="12.75" customHeight="1" x14ac:dyDescent="0.2">
      <c r="A96" s="121"/>
      <c r="B96" s="121"/>
      <c r="C96" s="121"/>
      <c r="D96" s="121"/>
      <c r="E96" s="121"/>
      <c r="F96" s="121"/>
      <c r="G96" s="121"/>
      <c r="H96" s="121"/>
      <c r="I96" s="121"/>
      <c r="J96" s="121"/>
      <c r="K96" s="121"/>
    </row>
    <row r="97" spans="1:11" ht="12.75" customHeight="1" x14ac:dyDescent="0.2">
      <c r="A97" s="121"/>
      <c r="B97" s="121"/>
      <c r="C97" s="121"/>
      <c r="D97" s="121"/>
      <c r="E97" s="121"/>
      <c r="F97" s="121"/>
      <c r="G97" s="121"/>
      <c r="H97" s="121"/>
      <c r="I97" s="121"/>
      <c r="J97" s="121"/>
      <c r="K97" s="121"/>
    </row>
    <row r="98" spans="1:11" ht="12.75" customHeight="1" x14ac:dyDescent="0.2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1"/>
    </row>
    <row r="99" spans="1:11" ht="12.75" customHeight="1" x14ac:dyDescent="0.2">
      <c r="A99" s="121"/>
      <c r="B99" s="121"/>
      <c r="C99" s="121"/>
      <c r="D99" s="121"/>
      <c r="E99" s="121"/>
      <c r="F99" s="121"/>
      <c r="G99" s="121"/>
      <c r="H99" s="121"/>
      <c r="I99" s="121"/>
      <c r="J99" s="121"/>
      <c r="K99" s="121"/>
    </row>
    <row r="100" spans="1:11" ht="12.75" customHeight="1" x14ac:dyDescent="0.2">
      <c r="A100" s="121"/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</row>
  </sheetData>
  <autoFilter ref="C16:C70" xr:uid="{00000000-0009-0000-0000-000000000000}"/>
  <mergeCells count="29">
    <mergeCell ref="B9:K9"/>
    <mergeCell ref="B10:K10"/>
    <mergeCell ref="B2:K2"/>
    <mergeCell ref="B3:K3"/>
    <mergeCell ref="B4:K4"/>
    <mergeCell ref="B5:K5"/>
    <mergeCell ref="B7:K7"/>
    <mergeCell ref="F13:F14"/>
    <mergeCell ref="G13:G14"/>
    <mergeCell ref="F11:G11"/>
    <mergeCell ref="H11:I11"/>
    <mergeCell ref="B13:B14"/>
    <mergeCell ref="C13:C14"/>
    <mergeCell ref="D13:D14"/>
    <mergeCell ref="E13:E14"/>
    <mergeCell ref="H13:K13"/>
    <mergeCell ref="J11:K11"/>
    <mergeCell ref="B11:D11"/>
    <mergeCell ref="B83:F83"/>
    <mergeCell ref="G83:K83"/>
    <mergeCell ref="B72:E72"/>
    <mergeCell ref="B74:E74"/>
    <mergeCell ref="B76:E76"/>
    <mergeCell ref="B77:K79"/>
    <mergeCell ref="B80:K80"/>
    <mergeCell ref="B81:F81"/>
    <mergeCell ref="G81:K81"/>
    <mergeCell ref="B82:F82"/>
    <mergeCell ref="G82:K82"/>
  </mergeCells>
  <phoneticPr fontId="33" type="noConversion"/>
  <printOptions horizontalCentered="1"/>
  <pageMargins left="0.19685039370078741" right="0.19685039370078741" top="0.39370078740157483" bottom="0.39370078740157483" header="0" footer="0.19685039370078741"/>
  <pageSetup scale="78" orientation="landscape" r:id="rId1"/>
  <headerFooter>
    <oddFooter>Página &amp;P de &amp;N</oddFooter>
  </headerFooter>
  <ignoredErrors>
    <ignoredError sqref="D2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0"/>
  <sheetViews>
    <sheetView showGridLines="0" zoomScaleNormal="100" workbookViewId="0"/>
  </sheetViews>
  <sheetFormatPr defaultColWidth="14.42578125" defaultRowHeight="15" customHeight="1" x14ac:dyDescent="0.2"/>
  <cols>
    <col min="1" max="1" width="4.5703125" customWidth="1"/>
    <col min="2" max="2" width="7.5703125" customWidth="1"/>
    <col min="3" max="3" width="55.5703125" customWidth="1"/>
    <col min="4" max="4" width="10.5703125" customWidth="1"/>
    <col min="5" max="5" width="16.5703125" customWidth="1"/>
    <col min="6" max="6" width="10.5703125" customWidth="1"/>
    <col min="7" max="7" width="14.5703125" customWidth="1"/>
    <col min="8" max="8" width="10.5703125" customWidth="1"/>
    <col min="9" max="10" width="14.5703125" customWidth="1"/>
    <col min="11" max="11" width="2.5703125" customWidth="1"/>
    <col min="12" max="12" width="10.5703125" customWidth="1"/>
  </cols>
  <sheetData>
    <row r="1" spans="1:12" ht="18" customHeight="1" x14ac:dyDescent="0.2">
      <c r="A1" s="22" t="s">
        <v>153</v>
      </c>
      <c r="B1" s="22"/>
      <c r="C1" s="22"/>
      <c r="D1" s="23"/>
      <c r="E1" s="22"/>
      <c r="F1" s="23"/>
      <c r="G1" s="23"/>
      <c r="H1" s="23"/>
      <c r="I1" s="23"/>
      <c r="J1" s="23"/>
      <c r="K1" s="22"/>
      <c r="L1" s="22"/>
    </row>
    <row r="2" spans="1:12" ht="18" customHeight="1" x14ac:dyDescent="0.2">
      <c r="A2" s="22"/>
      <c r="B2" s="242" t="s">
        <v>0</v>
      </c>
      <c r="C2" s="243"/>
      <c r="D2" s="243"/>
      <c r="E2" s="243"/>
      <c r="F2" s="243"/>
      <c r="G2" s="243"/>
      <c r="H2" s="243"/>
      <c r="I2" s="243"/>
      <c r="J2" s="244"/>
      <c r="K2" s="23"/>
      <c r="L2" s="23"/>
    </row>
    <row r="3" spans="1:12" ht="18" customHeight="1" x14ac:dyDescent="0.2">
      <c r="A3" s="22"/>
      <c r="B3" s="245" t="s">
        <v>1</v>
      </c>
      <c r="C3" s="246"/>
      <c r="D3" s="246"/>
      <c r="E3" s="246"/>
      <c r="F3" s="246"/>
      <c r="G3" s="246"/>
      <c r="H3" s="246"/>
      <c r="I3" s="246"/>
      <c r="J3" s="247"/>
      <c r="K3" s="23"/>
      <c r="L3" s="23"/>
    </row>
    <row r="4" spans="1:12" ht="18" customHeight="1" x14ac:dyDescent="0.2">
      <c r="A4" s="22"/>
      <c r="B4" s="245" t="s">
        <v>2</v>
      </c>
      <c r="C4" s="246"/>
      <c r="D4" s="246"/>
      <c r="E4" s="246"/>
      <c r="F4" s="246"/>
      <c r="G4" s="246"/>
      <c r="H4" s="246"/>
      <c r="I4" s="246"/>
      <c r="J4" s="247"/>
      <c r="K4" s="23"/>
      <c r="L4" s="23"/>
    </row>
    <row r="5" spans="1:12" ht="18" customHeight="1" x14ac:dyDescent="0.2">
      <c r="A5" s="22"/>
      <c r="B5" s="248" t="s">
        <v>3</v>
      </c>
      <c r="C5" s="249"/>
      <c r="D5" s="249"/>
      <c r="E5" s="249"/>
      <c r="F5" s="249"/>
      <c r="G5" s="249"/>
      <c r="H5" s="249"/>
      <c r="I5" s="249"/>
      <c r="J5" s="250"/>
      <c r="K5" s="23"/>
      <c r="L5" s="23"/>
    </row>
    <row r="6" spans="1:12" ht="4.5" customHeight="1" x14ac:dyDescent="0.2">
      <c r="A6" s="22"/>
      <c r="B6" s="2"/>
      <c r="C6" s="2"/>
      <c r="D6" s="2"/>
      <c r="E6" s="2"/>
      <c r="F6" s="2"/>
      <c r="G6" s="2"/>
      <c r="H6" s="2"/>
      <c r="I6" s="2"/>
      <c r="J6" s="23"/>
      <c r="K6" s="22"/>
      <c r="L6" s="22"/>
    </row>
    <row r="7" spans="1:12" ht="18" customHeight="1" x14ac:dyDescent="0.2">
      <c r="A7" s="22"/>
      <c r="B7" s="251" t="s">
        <v>154</v>
      </c>
      <c r="C7" s="240"/>
      <c r="D7" s="240"/>
      <c r="E7" s="240"/>
      <c r="F7" s="240"/>
      <c r="G7" s="240"/>
      <c r="H7" s="240"/>
      <c r="I7" s="240"/>
      <c r="J7" s="235"/>
      <c r="K7" s="22"/>
      <c r="L7" s="22"/>
    </row>
    <row r="8" spans="1:12" ht="4.5" customHeight="1" x14ac:dyDescent="0.2">
      <c r="A8" s="22"/>
      <c r="B8" s="3"/>
      <c r="C8" s="3"/>
      <c r="D8" s="3"/>
      <c r="E8" s="1"/>
      <c r="F8" s="3"/>
      <c r="G8" s="1"/>
      <c r="H8" s="4"/>
      <c r="I8" s="5"/>
      <c r="J8" s="24"/>
      <c r="K8" s="22"/>
      <c r="L8" s="22"/>
    </row>
    <row r="9" spans="1:12" ht="18" customHeight="1" x14ac:dyDescent="0.2">
      <c r="A9" s="22"/>
      <c r="B9" s="239" t="s">
        <v>155</v>
      </c>
      <c r="C9" s="240"/>
      <c r="D9" s="240"/>
      <c r="E9" s="240"/>
      <c r="F9" s="240"/>
      <c r="G9" s="240"/>
      <c r="H9" s="240"/>
      <c r="I9" s="240"/>
      <c r="J9" s="235"/>
      <c r="K9" s="22"/>
      <c r="L9" s="22"/>
    </row>
    <row r="10" spans="1:12" ht="18" customHeight="1" x14ac:dyDescent="0.2">
      <c r="A10" s="22"/>
      <c r="B10" s="241" t="s">
        <v>156</v>
      </c>
      <c r="C10" s="240"/>
      <c r="D10" s="240"/>
      <c r="E10" s="240"/>
      <c r="F10" s="240"/>
      <c r="G10" s="240"/>
      <c r="H10" s="240"/>
      <c r="I10" s="240"/>
      <c r="J10" s="235"/>
      <c r="K10" s="22"/>
      <c r="L10" s="22"/>
    </row>
    <row r="11" spans="1:12" ht="18" customHeight="1" x14ac:dyDescent="0.2">
      <c r="A11" s="22"/>
      <c r="B11" s="241" t="s">
        <v>157</v>
      </c>
      <c r="C11" s="235"/>
      <c r="D11" s="241" t="s">
        <v>158</v>
      </c>
      <c r="E11" s="235"/>
      <c r="F11" s="241" t="s">
        <v>159</v>
      </c>
      <c r="G11" s="235"/>
      <c r="H11" s="241" t="s">
        <v>328</v>
      </c>
      <c r="I11" s="240"/>
      <c r="J11" s="235"/>
      <c r="K11" s="22"/>
      <c r="L11" s="22"/>
    </row>
    <row r="12" spans="1:12" ht="4.5" customHeight="1" x14ac:dyDescent="0.2">
      <c r="A12" s="22"/>
      <c r="B12" s="25"/>
      <c r="C12" s="25"/>
      <c r="D12" s="26"/>
      <c r="E12" s="25"/>
      <c r="F12" s="26"/>
      <c r="G12" s="26"/>
      <c r="H12" s="26"/>
      <c r="I12" s="26"/>
      <c r="J12" s="26"/>
      <c r="K12" s="22"/>
      <c r="L12" s="22"/>
    </row>
    <row r="13" spans="1:12" ht="13.5" customHeight="1" x14ac:dyDescent="0.2">
      <c r="A13" s="27"/>
      <c r="B13" s="231" t="s">
        <v>10</v>
      </c>
      <c r="C13" s="233" t="s">
        <v>160</v>
      </c>
      <c r="D13" s="231" t="s">
        <v>161</v>
      </c>
      <c r="E13" s="231" t="s">
        <v>162</v>
      </c>
      <c r="F13" s="234" t="s">
        <v>163</v>
      </c>
      <c r="G13" s="235"/>
      <c r="H13" s="234" t="s">
        <v>164</v>
      </c>
      <c r="I13" s="235"/>
      <c r="J13" s="231" t="s">
        <v>165</v>
      </c>
      <c r="K13" s="27"/>
      <c r="L13" s="27"/>
    </row>
    <row r="14" spans="1:12" ht="13.5" customHeight="1" x14ac:dyDescent="0.2">
      <c r="A14" s="27"/>
      <c r="B14" s="232"/>
      <c r="C14" s="232"/>
      <c r="D14" s="232"/>
      <c r="E14" s="232"/>
      <c r="F14" s="28" t="s">
        <v>166</v>
      </c>
      <c r="G14" s="28" t="s">
        <v>167</v>
      </c>
      <c r="H14" s="28" t="s">
        <v>166</v>
      </c>
      <c r="I14" s="28" t="s">
        <v>167</v>
      </c>
      <c r="J14" s="232"/>
      <c r="K14" s="27"/>
      <c r="L14" s="27"/>
    </row>
    <row r="15" spans="1:12" ht="4.5" customHeight="1" x14ac:dyDescent="0.2">
      <c r="A15" s="22"/>
      <c r="B15" s="29"/>
      <c r="C15" s="30"/>
      <c r="D15" s="31"/>
      <c r="E15" s="32"/>
      <c r="F15" s="31"/>
      <c r="G15" s="31"/>
      <c r="H15" s="31"/>
      <c r="I15" s="31"/>
      <c r="J15" s="32"/>
      <c r="K15" s="22"/>
      <c r="L15" s="22"/>
    </row>
    <row r="16" spans="1:12" ht="18" customHeight="1" x14ac:dyDescent="0.2">
      <c r="A16" s="22"/>
      <c r="B16" s="33" t="str">
        <f>'Planilha Orçamentária'!B16</f>
        <v>1.00</v>
      </c>
      <c r="C16" s="6" t="str">
        <f>'Planilha Orçamentária'!E16</f>
        <v>SERVIÇOS PRELIMINARES</v>
      </c>
      <c r="D16" s="34">
        <f t="shared" ref="D16:D24" si="0">E16/$E$26*100</f>
        <v>3.810542642948469</v>
      </c>
      <c r="E16" s="35">
        <f>'Planilha Orçamentária'!J16</f>
        <v>5956.482</v>
      </c>
      <c r="F16" s="36">
        <v>50</v>
      </c>
      <c r="G16" s="36">
        <f t="shared" ref="G16:G24" si="1">F16*E16/100</f>
        <v>2978.241</v>
      </c>
      <c r="H16" s="36">
        <v>50</v>
      </c>
      <c r="I16" s="36">
        <f t="shared" ref="I16:I24" si="2">H16*E16/100</f>
        <v>2978.241</v>
      </c>
      <c r="J16" s="36">
        <f t="shared" ref="J16:J24" si="3">G16+I16</f>
        <v>5956.482</v>
      </c>
      <c r="K16" s="22"/>
      <c r="L16" s="37">
        <f t="shared" ref="L16:L24" si="4">F16+H16</f>
        <v>100</v>
      </c>
    </row>
    <row r="17" spans="1:12" ht="18" customHeight="1" x14ac:dyDescent="0.2">
      <c r="A17" s="22"/>
      <c r="B17" s="33" t="str">
        <f>'Planilha Orçamentária'!B19</f>
        <v>2.00</v>
      </c>
      <c r="C17" s="6" t="str">
        <f>'Planilha Orçamentária'!E19</f>
        <v>RETIRADAS E DEMOLIÇÕES</v>
      </c>
      <c r="D17" s="34">
        <f t="shared" si="0"/>
        <v>0.53559880021070261</v>
      </c>
      <c r="E17" s="35">
        <f>'Planilha Orçamentária'!J19</f>
        <v>837.22579999999994</v>
      </c>
      <c r="F17" s="36">
        <v>50</v>
      </c>
      <c r="G17" s="36">
        <f t="shared" si="1"/>
        <v>418.61289999999991</v>
      </c>
      <c r="H17" s="36">
        <v>50</v>
      </c>
      <c r="I17" s="36">
        <f t="shared" si="2"/>
        <v>418.61289999999991</v>
      </c>
      <c r="J17" s="36">
        <f t="shared" si="3"/>
        <v>837.22579999999982</v>
      </c>
      <c r="K17" s="22"/>
      <c r="L17" s="37">
        <f t="shared" si="4"/>
        <v>100</v>
      </c>
    </row>
    <row r="18" spans="1:12" ht="18" customHeight="1" x14ac:dyDescent="0.2">
      <c r="A18" s="22"/>
      <c r="B18" s="33" t="str">
        <f>'Planilha Orçamentária'!B24</f>
        <v>3.00</v>
      </c>
      <c r="C18" s="6" t="str">
        <f>'Planilha Orçamentária'!E24</f>
        <v>INSTALAÇÃO SANITÁRIA</v>
      </c>
      <c r="D18" s="34">
        <f t="shared" si="0"/>
        <v>8.3775447391172619</v>
      </c>
      <c r="E18" s="35">
        <f>'Planilha Orçamentária'!J24</f>
        <v>13095.43</v>
      </c>
      <c r="F18" s="36">
        <v>50</v>
      </c>
      <c r="G18" s="36">
        <f t="shared" si="1"/>
        <v>6547.7150000000001</v>
      </c>
      <c r="H18" s="36">
        <v>50</v>
      </c>
      <c r="I18" s="36">
        <f t="shared" si="2"/>
        <v>6547.7150000000001</v>
      </c>
      <c r="J18" s="36">
        <f t="shared" si="3"/>
        <v>13095.43</v>
      </c>
      <c r="K18" s="22"/>
      <c r="L18" s="37">
        <f t="shared" si="4"/>
        <v>100</v>
      </c>
    </row>
    <row r="19" spans="1:12" ht="18" customHeight="1" x14ac:dyDescent="0.2">
      <c r="A19" s="22"/>
      <c r="B19" s="33" t="str">
        <f>'Planilha Orçamentária'!B34</f>
        <v>4.00</v>
      </c>
      <c r="C19" s="6" t="str">
        <f>'Planilha Orçamentária'!E34</f>
        <v>INSTALAÇÃO ELÉTRICA</v>
      </c>
      <c r="D19" s="34">
        <f t="shared" si="0"/>
        <v>3.5899943063226267</v>
      </c>
      <c r="E19" s="35">
        <f>'Planilha Orçamentária'!J34</f>
        <v>5611.73</v>
      </c>
      <c r="F19" s="36">
        <v>50</v>
      </c>
      <c r="G19" s="36">
        <f t="shared" si="1"/>
        <v>2805.8649999999998</v>
      </c>
      <c r="H19" s="36">
        <v>50</v>
      </c>
      <c r="I19" s="36">
        <f t="shared" si="2"/>
        <v>2805.8649999999998</v>
      </c>
      <c r="J19" s="36">
        <f t="shared" si="3"/>
        <v>5611.73</v>
      </c>
      <c r="K19" s="22"/>
      <c r="L19" s="37">
        <f t="shared" si="4"/>
        <v>100</v>
      </c>
    </row>
    <row r="20" spans="1:12" ht="18" customHeight="1" x14ac:dyDescent="0.2">
      <c r="A20" s="22"/>
      <c r="B20" s="33" t="str">
        <f>'Planilha Orçamentária'!B45</f>
        <v>5.00</v>
      </c>
      <c r="C20" s="6" t="str">
        <f>'Planilha Orçamentária'!E45</f>
        <v>REVESTIMENTO</v>
      </c>
      <c r="D20" s="34">
        <f t="shared" si="0"/>
        <v>16.588983414572148</v>
      </c>
      <c r="E20" s="35">
        <f>'Planilha Orçamentária'!J45</f>
        <v>25931.209900000005</v>
      </c>
      <c r="F20" s="36">
        <v>50</v>
      </c>
      <c r="G20" s="36">
        <f t="shared" si="1"/>
        <v>12965.604950000003</v>
      </c>
      <c r="H20" s="36">
        <v>50</v>
      </c>
      <c r="I20" s="36">
        <f t="shared" si="2"/>
        <v>12965.604950000003</v>
      </c>
      <c r="J20" s="36">
        <f t="shared" si="3"/>
        <v>25931.209900000005</v>
      </c>
      <c r="K20" s="22"/>
      <c r="L20" s="37">
        <f t="shared" si="4"/>
        <v>100</v>
      </c>
    </row>
    <row r="21" spans="1:12" ht="18" customHeight="1" x14ac:dyDescent="0.2">
      <c r="A21" s="22"/>
      <c r="B21" s="33" t="str">
        <f>'Planilha Orçamentária'!B50</f>
        <v>6.00</v>
      </c>
      <c r="C21" s="6" t="str">
        <f>'Planilha Orçamentária'!E50</f>
        <v>PAVIMENTAÇÃO</v>
      </c>
      <c r="D21" s="34">
        <f t="shared" si="0"/>
        <v>10.990319504829626</v>
      </c>
      <c r="E21" s="35">
        <f>'Planilha Orçamentária'!J50</f>
        <v>17179.610999999997</v>
      </c>
      <c r="F21" s="36">
        <v>50</v>
      </c>
      <c r="G21" s="36">
        <f t="shared" si="1"/>
        <v>8589.8054999999986</v>
      </c>
      <c r="H21" s="36">
        <v>50</v>
      </c>
      <c r="I21" s="36">
        <f t="shared" si="2"/>
        <v>8589.8054999999986</v>
      </c>
      <c r="J21" s="36">
        <f t="shared" si="3"/>
        <v>17179.610999999997</v>
      </c>
      <c r="K21" s="22"/>
      <c r="L21" s="37">
        <f t="shared" si="4"/>
        <v>100</v>
      </c>
    </row>
    <row r="22" spans="1:12" ht="18" customHeight="1" x14ac:dyDescent="0.2">
      <c r="A22" s="22"/>
      <c r="B22" s="33" t="str">
        <f>'Planilha Orçamentária'!B53</f>
        <v>7.00</v>
      </c>
      <c r="C22" s="6" t="str">
        <f>'Planilha Orçamentária'!E53</f>
        <v>PINTURA</v>
      </c>
      <c r="D22" s="34">
        <f t="shared" si="0"/>
        <v>28.480949763821389</v>
      </c>
      <c r="E22" s="35">
        <f>'Planilha Orçamentária'!J53</f>
        <v>44520.237800000003</v>
      </c>
      <c r="F22" s="36">
        <v>50</v>
      </c>
      <c r="G22" s="36">
        <f t="shared" si="1"/>
        <v>22260.118900000001</v>
      </c>
      <c r="H22" s="36">
        <v>50</v>
      </c>
      <c r="I22" s="36">
        <f t="shared" si="2"/>
        <v>22260.118900000001</v>
      </c>
      <c r="J22" s="36">
        <f t="shared" si="3"/>
        <v>44520.237800000003</v>
      </c>
      <c r="K22" s="22"/>
      <c r="L22" s="37">
        <f t="shared" si="4"/>
        <v>100</v>
      </c>
    </row>
    <row r="23" spans="1:12" ht="18" customHeight="1" x14ac:dyDescent="0.2">
      <c r="A23" s="22"/>
      <c r="B23" s="33" t="str">
        <f>'Planilha Orçamentária'!B56</f>
        <v>8.00</v>
      </c>
      <c r="C23" s="6" t="str">
        <f>'Planilha Orçamentária'!E56</f>
        <v>ESQUADRIAS</v>
      </c>
      <c r="D23" s="34">
        <f t="shared" si="0"/>
        <v>12.977994179922137</v>
      </c>
      <c r="E23" s="35">
        <f>'Planilha Orçamentária'!J56</f>
        <v>20286.661500000002</v>
      </c>
      <c r="F23" s="36">
        <v>50</v>
      </c>
      <c r="G23" s="36">
        <f t="shared" si="1"/>
        <v>10143.330750000001</v>
      </c>
      <c r="H23" s="36">
        <v>50</v>
      </c>
      <c r="I23" s="36">
        <f t="shared" si="2"/>
        <v>10143.330750000001</v>
      </c>
      <c r="J23" s="36">
        <f t="shared" si="3"/>
        <v>20286.661500000002</v>
      </c>
      <c r="K23" s="22"/>
      <c r="L23" s="37">
        <f t="shared" si="4"/>
        <v>100</v>
      </c>
    </row>
    <row r="24" spans="1:12" ht="18" customHeight="1" x14ac:dyDescent="0.2">
      <c r="A24" s="22"/>
      <c r="B24" s="33" t="str">
        <f>'Planilha Orçamentária'!B60</f>
        <v>9.00</v>
      </c>
      <c r="C24" s="6" t="str">
        <f>'Planilha Orçamentária'!E60</f>
        <v>DIVERSOS</v>
      </c>
      <c r="D24" s="34">
        <f t="shared" si="0"/>
        <v>14.648072648255644</v>
      </c>
      <c r="E24" s="35">
        <f>'Planilha Orçamentária'!J60</f>
        <v>22897.258799999996</v>
      </c>
      <c r="F24" s="36">
        <v>50</v>
      </c>
      <c r="G24" s="36">
        <f t="shared" si="1"/>
        <v>11448.629399999998</v>
      </c>
      <c r="H24" s="36">
        <v>50</v>
      </c>
      <c r="I24" s="36">
        <f t="shared" si="2"/>
        <v>11448.629399999998</v>
      </c>
      <c r="J24" s="36">
        <f t="shared" si="3"/>
        <v>22897.258799999996</v>
      </c>
      <c r="K24" s="22"/>
      <c r="L24" s="37">
        <f t="shared" si="4"/>
        <v>100</v>
      </c>
    </row>
    <row r="25" spans="1:12" ht="4.5" customHeight="1" x14ac:dyDescent="0.2">
      <c r="A25" s="22"/>
      <c r="B25" s="38"/>
      <c r="C25" s="39"/>
      <c r="D25" s="40"/>
      <c r="E25" s="41"/>
      <c r="F25" s="42"/>
      <c r="G25" s="42"/>
      <c r="H25" s="42"/>
      <c r="I25" s="42"/>
      <c r="J25" s="42"/>
      <c r="K25" s="22"/>
      <c r="L25" s="22"/>
    </row>
    <row r="26" spans="1:12" ht="18" customHeight="1" x14ac:dyDescent="0.2">
      <c r="A26" s="27"/>
      <c r="B26" s="43" t="s">
        <v>168</v>
      </c>
      <c r="C26" s="44"/>
      <c r="D26" s="45">
        <f>SUM(D12:D24)</f>
        <v>100.00000000000001</v>
      </c>
      <c r="E26" s="46">
        <f>SUM(E16:E24)</f>
        <v>156315.8468</v>
      </c>
      <c r="F26" s="46"/>
      <c r="G26" s="46">
        <f>SUM(G16:G24)</f>
        <v>78157.9234</v>
      </c>
      <c r="H26" s="46"/>
      <c r="I26" s="46">
        <f>SUM(I16:I25)</f>
        <v>78157.9234</v>
      </c>
      <c r="J26" s="46">
        <f>G26+I26</f>
        <v>156315.8468</v>
      </c>
      <c r="K26" s="27"/>
      <c r="L26" s="27"/>
    </row>
    <row r="27" spans="1:12" ht="4.5" customHeight="1" x14ac:dyDescent="0.2">
      <c r="A27" s="27"/>
      <c r="B27" s="39"/>
      <c r="C27" s="39"/>
      <c r="D27" s="47"/>
      <c r="E27" s="41"/>
      <c r="F27" s="41"/>
      <c r="G27" s="41"/>
      <c r="H27" s="41"/>
      <c r="I27" s="41"/>
      <c r="J27" s="41"/>
      <c r="K27" s="27"/>
      <c r="L27" s="27"/>
    </row>
    <row r="28" spans="1:12" ht="18" customHeight="1" x14ac:dyDescent="0.2">
      <c r="A28" s="27"/>
      <c r="B28" s="43" t="s">
        <v>169</v>
      </c>
      <c r="C28" s="44"/>
      <c r="D28" s="48"/>
      <c r="E28" s="46">
        <f>E26*0.25</f>
        <v>39078.9617</v>
      </c>
      <c r="F28" s="46"/>
      <c r="G28" s="46">
        <f>G26*0.25</f>
        <v>19539.48085</v>
      </c>
      <c r="H28" s="46"/>
      <c r="I28" s="46">
        <f>I26*0.25</f>
        <v>19539.48085</v>
      </c>
      <c r="J28" s="46">
        <f>G28+I28</f>
        <v>39078.9617</v>
      </c>
      <c r="K28" s="27"/>
      <c r="L28" s="27"/>
    </row>
    <row r="29" spans="1:12" ht="4.5" customHeight="1" x14ac:dyDescent="0.2">
      <c r="A29" s="27"/>
      <c r="B29" s="39"/>
      <c r="C29" s="39"/>
      <c r="D29" s="47"/>
      <c r="E29" s="41"/>
      <c r="F29" s="41"/>
      <c r="G29" s="41"/>
      <c r="H29" s="41"/>
      <c r="I29" s="41"/>
      <c r="J29" s="41"/>
      <c r="K29" s="27"/>
      <c r="L29" s="27"/>
    </row>
    <row r="30" spans="1:12" ht="18" customHeight="1" x14ac:dyDescent="0.2">
      <c r="A30" s="27"/>
      <c r="B30" s="43" t="s">
        <v>170</v>
      </c>
      <c r="C30" s="44"/>
      <c r="D30" s="48"/>
      <c r="E30" s="46">
        <f>SUM(E26:E28)</f>
        <v>195394.80849999998</v>
      </c>
      <c r="F30" s="46"/>
      <c r="G30" s="46">
        <f>SUM(G26:G28)</f>
        <v>97697.404249999992</v>
      </c>
      <c r="H30" s="46"/>
      <c r="I30" s="46">
        <f>SUM(I26:I28)</f>
        <v>97697.404249999992</v>
      </c>
      <c r="J30" s="46">
        <f>G30+I30</f>
        <v>195394.80849999998</v>
      </c>
      <c r="K30" s="27"/>
      <c r="L30" s="27"/>
    </row>
    <row r="31" spans="1:12" ht="4.5" customHeight="1" x14ac:dyDescent="0.2">
      <c r="A31" s="27"/>
      <c r="B31" s="39"/>
      <c r="C31" s="39"/>
      <c r="D31" s="47"/>
      <c r="E31" s="41"/>
      <c r="F31" s="41"/>
      <c r="G31" s="41"/>
      <c r="H31" s="41"/>
      <c r="I31" s="41"/>
      <c r="J31" s="41"/>
      <c r="K31" s="27"/>
      <c r="L31" s="27"/>
    </row>
    <row r="32" spans="1:12" ht="18" customHeight="1" x14ac:dyDescent="0.2">
      <c r="A32" s="27"/>
      <c r="B32" s="43" t="s">
        <v>171</v>
      </c>
      <c r="C32" s="44"/>
      <c r="D32" s="45"/>
      <c r="E32" s="46"/>
      <c r="F32" s="49">
        <f>G26/$E$26</f>
        <v>0.5</v>
      </c>
      <c r="G32" s="49"/>
      <c r="H32" s="49">
        <f>I26/$E$26</f>
        <v>0.5</v>
      </c>
      <c r="I32" s="49"/>
      <c r="J32" s="50">
        <f>SUM(F32:I32)</f>
        <v>1</v>
      </c>
      <c r="K32" s="27"/>
      <c r="L32" s="27"/>
    </row>
    <row r="33" spans="1:12" ht="12" customHeight="1" x14ac:dyDescent="0.2">
      <c r="A33" s="22"/>
      <c r="B33" s="22"/>
      <c r="C33" s="22"/>
      <c r="D33" s="23"/>
      <c r="E33" s="22"/>
      <c r="F33" s="23"/>
      <c r="G33" s="23"/>
      <c r="H33" s="23"/>
      <c r="I33" s="23"/>
      <c r="J33" s="23"/>
      <c r="K33" s="22"/>
      <c r="L33" s="22"/>
    </row>
    <row r="34" spans="1:12" ht="12" customHeight="1" x14ac:dyDescent="0.2">
      <c r="A34" s="22"/>
      <c r="B34" s="22"/>
      <c r="C34" s="22"/>
      <c r="D34" s="23"/>
      <c r="E34" s="22"/>
      <c r="F34" s="23"/>
      <c r="G34" s="23"/>
      <c r="H34" s="23"/>
      <c r="I34" s="23"/>
      <c r="J34" s="23"/>
      <c r="K34" s="22"/>
      <c r="L34" s="22"/>
    </row>
    <row r="35" spans="1:12" ht="12" customHeight="1" x14ac:dyDescent="0.2">
      <c r="A35" s="22"/>
      <c r="B35" s="22"/>
      <c r="C35" s="22"/>
      <c r="D35" s="23"/>
      <c r="E35" s="22"/>
      <c r="F35" s="23"/>
      <c r="G35" s="23"/>
      <c r="H35" s="23"/>
      <c r="I35" s="23"/>
      <c r="J35" s="23"/>
      <c r="K35" s="22"/>
      <c r="L35" s="22"/>
    </row>
    <row r="36" spans="1:12" ht="14.25" customHeight="1" x14ac:dyDescent="0.2">
      <c r="A36" s="22"/>
      <c r="B36" s="24"/>
      <c r="C36" s="1"/>
      <c r="D36" s="30"/>
      <c r="E36" s="51"/>
      <c r="F36" s="23"/>
      <c r="G36" s="23"/>
      <c r="H36" s="23"/>
      <c r="I36" s="23"/>
      <c r="J36" s="23"/>
      <c r="K36" s="22"/>
      <c r="L36" s="22"/>
    </row>
    <row r="37" spans="1:12" ht="14.25" customHeight="1" x14ac:dyDescent="0.2">
      <c r="A37" s="22"/>
      <c r="B37" s="236" t="s">
        <v>148</v>
      </c>
      <c r="C37" s="236"/>
      <c r="D37" s="236"/>
      <c r="E37" s="236"/>
      <c r="F37" s="236"/>
      <c r="G37" s="236"/>
      <c r="H37" s="236"/>
      <c r="I37" s="236"/>
      <c r="J37" s="236"/>
      <c r="K37" s="22"/>
      <c r="L37" s="22"/>
    </row>
    <row r="38" spans="1:12" ht="12.75" customHeight="1" x14ac:dyDescent="0.2">
      <c r="A38" s="22"/>
      <c r="B38" s="237" t="s">
        <v>150</v>
      </c>
      <c r="C38" s="237"/>
      <c r="D38" s="237"/>
      <c r="E38" s="237"/>
      <c r="F38" s="237"/>
      <c r="G38" s="237"/>
      <c r="H38" s="237"/>
      <c r="I38" s="237"/>
      <c r="J38" s="237"/>
      <c r="K38" s="22"/>
      <c r="L38" s="22"/>
    </row>
    <row r="39" spans="1:12" ht="12" customHeight="1" x14ac:dyDescent="0.2">
      <c r="A39" s="22"/>
      <c r="B39" s="238" t="s">
        <v>152</v>
      </c>
      <c r="C39" s="238"/>
      <c r="D39" s="238"/>
      <c r="E39" s="238"/>
      <c r="F39" s="238"/>
      <c r="G39" s="238"/>
      <c r="H39" s="238"/>
      <c r="I39" s="238"/>
      <c r="J39" s="238"/>
      <c r="K39" s="22"/>
      <c r="L39" s="22"/>
    </row>
    <row r="40" spans="1:12" ht="12" customHeight="1" x14ac:dyDescent="0.2">
      <c r="A40" s="22"/>
      <c r="B40" s="22"/>
      <c r="C40" s="22"/>
      <c r="D40" s="23"/>
      <c r="E40" s="22"/>
      <c r="F40" s="23"/>
      <c r="G40" s="23"/>
      <c r="H40" s="23"/>
      <c r="I40" s="23"/>
      <c r="J40" s="23"/>
      <c r="K40" s="22"/>
      <c r="L40" s="22"/>
    </row>
    <row r="41" spans="1:12" ht="12" customHeight="1" x14ac:dyDescent="0.2">
      <c r="A41" s="22"/>
      <c r="B41" s="22"/>
      <c r="C41" s="22"/>
      <c r="D41" s="23"/>
      <c r="E41" s="22"/>
      <c r="F41" s="23"/>
      <c r="G41" s="23"/>
      <c r="H41" s="23"/>
      <c r="I41" s="23"/>
      <c r="J41" s="23"/>
      <c r="K41" s="22"/>
      <c r="L41" s="22"/>
    </row>
    <row r="42" spans="1:12" ht="12" customHeight="1" x14ac:dyDescent="0.2">
      <c r="A42" s="22"/>
      <c r="B42" s="22"/>
      <c r="C42" s="22"/>
      <c r="D42" s="23"/>
      <c r="E42" s="22"/>
      <c r="F42" s="23"/>
      <c r="G42" s="23"/>
      <c r="H42" s="23"/>
      <c r="I42" s="23"/>
      <c r="J42" s="23"/>
      <c r="K42" s="22"/>
      <c r="L42" s="22"/>
    </row>
    <row r="43" spans="1:12" ht="12" customHeight="1" x14ac:dyDescent="0.2">
      <c r="A43" s="22"/>
      <c r="B43" s="22"/>
      <c r="C43" s="22"/>
      <c r="D43" s="23"/>
      <c r="E43" s="22"/>
      <c r="F43" s="23"/>
      <c r="G43" s="23"/>
      <c r="H43" s="23"/>
      <c r="I43" s="23"/>
      <c r="J43" s="23"/>
      <c r="K43" s="22"/>
      <c r="L43" s="22"/>
    </row>
    <row r="44" spans="1:12" ht="12" customHeight="1" x14ac:dyDescent="0.2">
      <c r="A44" s="22"/>
      <c r="B44" s="22"/>
      <c r="C44" s="22"/>
      <c r="D44" s="23"/>
      <c r="E44" s="22"/>
      <c r="F44" s="23"/>
      <c r="G44" s="23"/>
      <c r="H44" s="23"/>
      <c r="I44" s="23"/>
      <c r="J44" s="23"/>
      <c r="K44" s="22"/>
      <c r="L44" s="22"/>
    </row>
    <row r="45" spans="1:12" ht="12" customHeight="1" x14ac:dyDescent="0.2">
      <c r="A45" s="22"/>
      <c r="B45" s="22"/>
      <c r="C45" s="22"/>
      <c r="D45" s="23"/>
      <c r="E45" s="22"/>
      <c r="F45" s="23"/>
      <c r="G45" s="23"/>
      <c r="H45" s="23"/>
      <c r="I45" s="23"/>
      <c r="J45" s="23"/>
      <c r="K45" s="22"/>
      <c r="L45" s="22"/>
    </row>
    <row r="46" spans="1:12" ht="12" customHeight="1" x14ac:dyDescent="0.2">
      <c r="A46" s="22"/>
      <c r="B46" s="22"/>
      <c r="C46" s="22"/>
      <c r="D46" s="23"/>
      <c r="E46" s="22"/>
      <c r="F46" s="23"/>
      <c r="G46" s="23"/>
      <c r="H46" s="23"/>
      <c r="I46" s="23"/>
      <c r="J46" s="23"/>
      <c r="K46" s="22"/>
      <c r="L46" s="22"/>
    </row>
    <row r="47" spans="1:12" ht="12" customHeight="1" x14ac:dyDescent="0.2">
      <c r="A47" s="22"/>
      <c r="B47" s="22"/>
      <c r="C47" s="22"/>
      <c r="D47" s="23"/>
      <c r="E47" s="22"/>
      <c r="F47" s="23"/>
      <c r="G47" s="23"/>
      <c r="H47" s="23"/>
      <c r="I47" s="23"/>
      <c r="J47" s="23"/>
      <c r="K47" s="22"/>
      <c r="L47" s="22"/>
    </row>
    <row r="48" spans="1:12" ht="12" customHeight="1" x14ac:dyDescent="0.2">
      <c r="A48" s="22"/>
      <c r="B48" s="22"/>
      <c r="C48" s="22"/>
      <c r="D48" s="23"/>
      <c r="E48" s="22"/>
      <c r="F48" s="23"/>
      <c r="G48" s="23"/>
      <c r="H48" s="23"/>
      <c r="I48" s="23"/>
      <c r="J48" s="23"/>
      <c r="K48" s="22"/>
      <c r="L48" s="22"/>
    </row>
    <row r="49" spans="1:12" ht="12" customHeight="1" x14ac:dyDescent="0.2">
      <c r="A49" s="22"/>
      <c r="B49" s="22"/>
      <c r="C49" s="22"/>
      <c r="D49" s="23"/>
      <c r="E49" s="22"/>
      <c r="F49" s="23"/>
      <c r="G49" s="23"/>
      <c r="H49" s="23"/>
      <c r="I49" s="23"/>
      <c r="J49" s="23"/>
      <c r="K49" s="22"/>
      <c r="L49" s="22"/>
    </row>
    <row r="50" spans="1:12" ht="12" customHeight="1" x14ac:dyDescent="0.2">
      <c r="A50" s="22"/>
      <c r="B50" s="22"/>
      <c r="C50" s="22"/>
      <c r="D50" s="23"/>
      <c r="E50" s="22"/>
      <c r="F50" s="23"/>
      <c r="G50" s="23"/>
      <c r="H50" s="23"/>
      <c r="I50" s="23"/>
      <c r="J50" s="23"/>
      <c r="K50" s="22"/>
      <c r="L50" s="22"/>
    </row>
    <row r="51" spans="1:12" ht="12" customHeight="1" x14ac:dyDescent="0.2">
      <c r="A51" s="22"/>
      <c r="B51" s="22"/>
      <c r="C51" s="22"/>
      <c r="D51" s="23"/>
      <c r="E51" s="22"/>
      <c r="F51" s="23"/>
      <c r="G51" s="23"/>
      <c r="H51" s="23"/>
      <c r="I51" s="23"/>
      <c r="J51" s="23"/>
      <c r="K51" s="22"/>
      <c r="L51" s="22"/>
    </row>
    <row r="52" spans="1:12" ht="12" customHeight="1" x14ac:dyDescent="0.2">
      <c r="A52" s="22"/>
      <c r="B52" s="22"/>
      <c r="C52" s="22"/>
      <c r="D52" s="23"/>
      <c r="E52" s="22"/>
      <c r="F52" s="23"/>
      <c r="G52" s="23"/>
      <c r="H52" s="23"/>
      <c r="I52" s="23"/>
      <c r="J52" s="23"/>
      <c r="K52" s="22"/>
      <c r="L52" s="22"/>
    </row>
    <row r="53" spans="1:12" ht="12" customHeight="1" x14ac:dyDescent="0.2">
      <c r="A53" s="22"/>
      <c r="B53" s="22"/>
      <c r="C53" s="22"/>
      <c r="D53" s="23"/>
      <c r="E53" s="22"/>
      <c r="F53" s="23"/>
      <c r="G53" s="23"/>
      <c r="H53" s="23"/>
      <c r="I53" s="23"/>
      <c r="J53" s="23"/>
      <c r="K53" s="22"/>
      <c r="L53" s="22"/>
    </row>
    <row r="54" spans="1:12" ht="12" customHeight="1" x14ac:dyDescent="0.2">
      <c r="A54" s="22"/>
      <c r="B54" s="22"/>
      <c r="C54" s="22"/>
      <c r="D54" s="23"/>
      <c r="E54" s="22"/>
      <c r="F54" s="23"/>
      <c r="G54" s="23"/>
      <c r="H54" s="23"/>
      <c r="I54" s="23"/>
      <c r="J54" s="23"/>
      <c r="K54" s="22"/>
      <c r="L54" s="22"/>
    </row>
    <row r="55" spans="1:12" ht="12" customHeight="1" x14ac:dyDescent="0.2">
      <c r="A55" s="22"/>
      <c r="B55" s="22"/>
      <c r="C55" s="22"/>
      <c r="D55" s="23"/>
      <c r="E55" s="22"/>
      <c r="F55" s="23"/>
      <c r="G55" s="23"/>
      <c r="H55" s="23"/>
      <c r="I55" s="23"/>
      <c r="J55" s="23"/>
      <c r="K55" s="22"/>
      <c r="L55" s="22"/>
    </row>
    <row r="56" spans="1:12" ht="12" customHeight="1" x14ac:dyDescent="0.2">
      <c r="A56" s="22"/>
      <c r="B56" s="22"/>
      <c r="C56" s="22"/>
      <c r="D56" s="23"/>
      <c r="E56" s="22"/>
      <c r="F56" s="23"/>
      <c r="G56" s="23"/>
      <c r="H56" s="23"/>
      <c r="I56" s="23"/>
      <c r="J56" s="23"/>
      <c r="K56" s="22"/>
      <c r="L56" s="22"/>
    </row>
    <row r="57" spans="1:12" ht="12" customHeight="1" x14ac:dyDescent="0.2">
      <c r="A57" s="22"/>
      <c r="B57" s="22"/>
      <c r="C57" s="22"/>
      <c r="D57" s="23"/>
      <c r="E57" s="22"/>
      <c r="F57" s="23"/>
      <c r="G57" s="23"/>
      <c r="H57" s="23"/>
      <c r="I57" s="23"/>
      <c r="J57" s="23"/>
      <c r="K57" s="22"/>
      <c r="L57" s="22"/>
    </row>
    <row r="58" spans="1:12" ht="12" customHeight="1" x14ac:dyDescent="0.2">
      <c r="A58" s="22"/>
      <c r="B58" s="22"/>
      <c r="C58" s="22"/>
      <c r="D58" s="23"/>
      <c r="E58" s="22"/>
      <c r="F58" s="23"/>
      <c r="G58" s="23"/>
      <c r="H58" s="23"/>
      <c r="I58" s="23"/>
      <c r="J58" s="23"/>
      <c r="K58" s="22"/>
      <c r="L58" s="22"/>
    </row>
    <row r="59" spans="1:12" ht="12" customHeight="1" x14ac:dyDescent="0.2">
      <c r="A59" s="22"/>
      <c r="B59" s="22"/>
      <c r="C59" s="22"/>
      <c r="D59" s="23"/>
      <c r="E59" s="22"/>
      <c r="F59" s="23"/>
      <c r="G59" s="23"/>
      <c r="H59" s="23"/>
      <c r="I59" s="23"/>
      <c r="J59" s="23"/>
      <c r="K59" s="22"/>
      <c r="L59" s="22"/>
    </row>
    <row r="60" spans="1:12" ht="12" customHeight="1" x14ac:dyDescent="0.2">
      <c r="A60" s="22"/>
      <c r="B60" s="22"/>
      <c r="C60" s="22"/>
      <c r="D60" s="23"/>
      <c r="E60" s="22"/>
      <c r="F60" s="23"/>
      <c r="G60" s="23"/>
      <c r="H60" s="23"/>
      <c r="I60" s="23"/>
      <c r="J60" s="23"/>
      <c r="K60" s="22"/>
      <c r="L60" s="22"/>
    </row>
    <row r="61" spans="1:12" ht="12" customHeight="1" x14ac:dyDescent="0.2">
      <c r="A61" s="22"/>
      <c r="B61" s="22"/>
      <c r="C61" s="22"/>
      <c r="D61" s="23"/>
      <c r="E61" s="22"/>
      <c r="F61" s="23"/>
      <c r="G61" s="23"/>
      <c r="H61" s="23"/>
      <c r="I61" s="23"/>
      <c r="J61" s="23"/>
      <c r="K61" s="22"/>
      <c r="L61" s="22"/>
    </row>
    <row r="62" spans="1:12" ht="12" customHeight="1" x14ac:dyDescent="0.2">
      <c r="A62" s="22"/>
      <c r="B62" s="22"/>
      <c r="C62" s="22"/>
      <c r="D62" s="23"/>
      <c r="E62" s="22"/>
      <c r="F62" s="23"/>
      <c r="G62" s="23"/>
      <c r="H62" s="23"/>
      <c r="I62" s="23"/>
      <c r="J62" s="23"/>
      <c r="K62" s="22"/>
      <c r="L62" s="22"/>
    </row>
    <row r="63" spans="1:12" ht="12" customHeight="1" x14ac:dyDescent="0.2">
      <c r="A63" s="22"/>
      <c r="B63" s="22"/>
      <c r="C63" s="22"/>
      <c r="D63" s="23"/>
      <c r="E63" s="22"/>
      <c r="F63" s="23"/>
      <c r="G63" s="23"/>
      <c r="H63" s="23"/>
      <c r="I63" s="23"/>
      <c r="J63" s="23"/>
      <c r="K63" s="22"/>
      <c r="L63" s="22"/>
    </row>
    <row r="64" spans="1:12" ht="12" customHeight="1" x14ac:dyDescent="0.2">
      <c r="A64" s="22"/>
      <c r="B64" s="22"/>
      <c r="C64" s="22"/>
      <c r="D64" s="23"/>
      <c r="E64" s="22"/>
      <c r="F64" s="23"/>
      <c r="G64" s="23"/>
      <c r="H64" s="23"/>
      <c r="I64" s="23"/>
      <c r="J64" s="23"/>
      <c r="K64" s="22"/>
      <c r="L64" s="22"/>
    </row>
    <row r="65" spans="1:12" ht="12" customHeight="1" x14ac:dyDescent="0.2">
      <c r="A65" s="22"/>
      <c r="B65" s="22"/>
      <c r="C65" s="22"/>
      <c r="D65" s="23"/>
      <c r="E65" s="22"/>
      <c r="F65" s="23"/>
      <c r="G65" s="23"/>
      <c r="H65" s="23"/>
      <c r="I65" s="23"/>
      <c r="J65" s="23"/>
      <c r="K65" s="22"/>
      <c r="L65" s="22"/>
    </row>
    <row r="66" spans="1:12" ht="12" customHeight="1" x14ac:dyDescent="0.2">
      <c r="A66" s="22"/>
      <c r="B66" s="22"/>
      <c r="C66" s="22"/>
      <c r="D66" s="23"/>
      <c r="E66" s="22"/>
      <c r="F66" s="23"/>
      <c r="G66" s="23"/>
      <c r="H66" s="23"/>
      <c r="I66" s="23"/>
      <c r="J66" s="23"/>
      <c r="K66" s="22"/>
      <c r="L66" s="22"/>
    </row>
    <row r="67" spans="1:12" ht="12" customHeight="1" x14ac:dyDescent="0.2">
      <c r="A67" s="22"/>
      <c r="B67" s="22"/>
      <c r="C67" s="22"/>
      <c r="D67" s="23"/>
      <c r="E67" s="22"/>
      <c r="F67" s="23"/>
      <c r="G67" s="23"/>
      <c r="H67" s="23"/>
      <c r="I67" s="23"/>
      <c r="J67" s="23"/>
      <c r="K67" s="22"/>
      <c r="L67" s="22"/>
    </row>
    <row r="68" spans="1:12" ht="12" customHeight="1" x14ac:dyDescent="0.2">
      <c r="A68" s="22"/>
      <c r="B68" s="22"/>
      <c r="C68" s="22"/>
      <c r="D68" s="23"/>
      <c r="E68" s="22"/>
      <c r="F68" s="23"/>
      <c r="G68" s="23"/>
      <c r="H68" s="23"/>
      <c r="I68" s="23"/>
      <c r="J68" s="23"/>
      <c r="K68" s="22"/>
      <c r="L68" s="22"/>
    </row>
    <row r="69" spans="1:12" ht="12" customHeight="1" x14ac:dyDescent="0.2">
      <c r="A69" s="22"/>
      <c r="B69" s="22"/>
      <c r="C69" s="22"/>
      <c r="D69" s="23"/>
      <c r="E69" s="22"/>
      <c r="F69" s="23"/>
      <c r="G69" s="23"/>
      <c r="H69" s="23"/>
      <c r="I69" s="23"/>
      <c r="J69" s="23"/>
      <c r="K69" s="22"/>
      <c r="L69" s="22"/>
    </row>
    <row r="70" spans="1:12" ht="12" customHeight="1" x14ac:dyDescent="0.2">
      <c r="A70" s="22"/>
      <c r="B70" s="22"/>
      <c r="C70" s="22"/>
      <c r="D70" s="23"/>
      <c r="E70" s="22"/>
      <c r="F70" s="23"/>
      <c r="G70" s="23"/>
      <c r="H70" s="23"/>
      <c r="I70" s="23"/>
      <c r="J70" s="23"/>
      <c r="K70" s="22"/>
      <c r="L70" s="22"/>
    </row>
    <row r="71" spans="1:12" ht="12" customHeight="1" x14ac:dyDescent="0.2">
      <c r="A71" s="22"/>
      <c r="B71" s="22"/>
      <c r="C71" s="22"/>
      <c r="D71" s="23"/>
      <c r="E71" s="22"/>
      <c r="F71" s="23"/>
      <c r="G71" s="23"/>
      <c r="H71" s="23"/>
      <c r="I71" s="23"/>
      <c r="J71" s="23"/>
      <c r="K71" s="22"/>
      <c r="L71" s="22"/>
    </row>
    <row r="72" spans="1:12" ht="12" customHeight="1" x14ac:dyDescent="0.2">
      <c r="A72" s="22"/>
      <c r="B72" s="22"/>
      <c r="C72" s="22"/>
      <c r="D72" s="23"/>
      <c r="E72" s="22"/>
      <c r="F72" s="23"/>
      <c r="G72" s="23"/>
      <c r="H72" s="23"/>
      <c r="I72" s="23"/>
      <c r="J72" s="23"/>
      <c r="K72" s="22"/>
      <c r="L72" s="22"/>
    </row>
    <row r="73" spans="1:12" ht="12" customHeight="1" x14ac:dyDescent="0.2">
      <c r="A73" s="22"/>
      <c r="B73" s="22"/>
      <c r="C73" s="22"/>
      <c r="D73" s="23"/>
      <c r="E73" s="22"/>
      <c r="F73" s="23"/>
      <c r="G73" s="23"/>
      <c r="H73" s="23"/>
      <c r="I73" s="23"/>
      <c r="J73" s="23"/>
      <c r="K73" s="22"/>
      <c r="L73" s="22"/>
    </row>
    <row r="74" spans="1:12" ht="12" customHeight="1" x14ac:dyDescent="0.2">
      <c r="A74" s="22"/>
      <c r="B74" s="22"/>
      <c r="C74" s="22"/>
      <c r="D74" s="23"/>
      <c r="E74" s="22"/>
      <c r="F74" s="23"/>
      <c r="G74" s="23"/>
      <c r="H74" s="23"/>
      <c r="I74" s="23"/>
      <c r="J74" s="23"/>
      <c r="K74" s="22"/>
      <c r="L74" s="22"/>
    </row>
    <row r="75" spans="1:12" ht="12" customHeight="1" x14ac:dyDescent="0.2">
      <c r="A75" s="22"/>
      <c r="B75" s="22"/>
      <c r="C75" s="22"/>
      <c r="D75" s="23"/>
      <c r="E75" s="22"/>
      <c r="F75" s="23"/>
      <c r="G75" s="23"/>
      <c r="H75" s="23"/>
      <c r="I75" s="23"/>
      <c r="J75" s="23"/>
      <c r="K75" s="22"/>
      <c r="L75" s="22"/>
    </row>
    <row r="76" spans="1:12" ht="12" customHeight="1" x14ac:dyDescent="0.2">
      <c r="A76" s="22"/>
      <c r="B76" s="22"/>
      <c r="C76" s="22"/>
      <c r="D76" s="23"/>
      <c r="E76" s="22"/>
      <c r="F76" s="23"/>
      <c r="G76" s="23"/>
      <c r="H76" s="23"/>
      <c r="I76" s="23"/>
      <c r="J76" s="23"/>
      <c r="K76" s="22"/>
      <c r="L76" s="22"/>
    </row>
    <row r="77" spans="1:12" ht="12" customHeight="1" x14ac:dyDescent="0.2">
      <c r="A77" s="22"/>
      <c r="B77" s="22"/>
      <c r="C77" s="22"/>
      <c r="D77" s="23"/>
      <c r="E77" s="22"/>
      <c r="F77" s="23"/>
      <c r="G77" s="23"/>
      <c r="H77" s="23"/>
      <c r="I77" s="23"/>
      <c r="J77" s="23"/>
      <c r="K77" s="22"/>
      <c r="L77" s="22"/>
    </row>
    <row r="78" spans="1:12" ht="12" customHeight="1" x14ac:dyDescent="0.2">
      <c r="A78" s="22"/>
      <c r="B78" s="22"/>
      <c r="C78" s="22"/>
      <c r="D78" s="23"/>
      <c r="E78" s="22"/>
      <c r="F78" s="23"/>
      <c r="G78" s="23"/>
      <c r="H78" s="23"/>
      <c r="I78" s="23"/>
      <c r="J78" s="23"/>
      <c r="K78" s="22"/>
      <c r="L78" s="22"/>
    </row>
    <row r="79" spans="1:12" ht="12" customHeight="1" x14ac:dyDescent="0.2">
      <c r="A79" s="22"/>
      <c r="B79" s="22"/>
      <c r="C79" s="22"/>
      <c r="D79" s="23"/>
      <c r="E79" s="22"/>
      <c r="F79" s="23"/>
      <c r="G79" s="23"/>
      <c r="H79" s="23"/>
      <c r="I79" s="23"/>
      <c r="J79" s="23"/>
      <c r="K79" s="22"/>
      <c r="L79" s="22"/>
    </row>
    <row r="80" spans="1:12" ht="12" customHeight="1" x14ac:dyDescent="0.2">
      <c r="A80" s="22"/>
      <c r="B80" s="22"/>
      <c r="C80" s="22"/>
      <c r="D80" s="23"/>
      <c r="E80" s="22"/>
      <c r="F80" s="23"/>
      <c r="G80" s="23"/>
      <c r="H80" s="23"/>
      <c r="I80" s="23"/>
      <c r="J80" s="23"/>
      <c r="K80" s="22"/>
      <c r="L80" s="22"/>
    </row>
    <row r="81" spans="1:12" ht="12" customHeight="1" x14ac:dyDescent="0.2">
      <c r="A81" s="22"/>
      <c r="B81" s="22"/>
      <c r="C81" s="22"/>
      <c r="D81" s="23"/>
      <c r="E81" s="22"/>
      <c r="F81" s="23"/>
      <c r="G81" s="23"/>
      <c r="H81" s="23"/>
      <c r="I81" s="23"/>
      <c r="J81" s="23"/>
      <c r="K81" s="22"/>
      <c r="L81" s="22"/>
    </row>
    <row r="82" spans="1:12" ht="12" customHeight="1" x14ac:dyDescent="0.2">
      <c r="A82" s="22"/>
      <c r="B82" s="22"/>
      <c r="C82" s="22"/>
      <c r="D82" s="23"/>
      <c r="E82" s="22"/>
      <c r="F82" s="23"/>
      <c r="G82" s="23"/>
      <c r="H82" s="23"/>
      <c r="I82" s="23"/>
      <c r="J82" s="23"/>
      <c r="K82" s="22"/>
      <c r="L82" s="22"/>
    </row>
    <row r="83" spans="1:12" ht="12" customHeight="1" x14ac:dyDescent="0.2">
      <c r="A83" s="22"/>
      <c r="B83" s="22"/>
      <c r="C83" s="22"/>
      <c r="D83" s="23"/>
      <c r="E83" s="22"/>
      <c r="F83" s="23"/>
      <c r="G83" s="23"/>
      <c r="H83" s="23"/>
      <c r="I83" s="23"/>
      <c r="J83" s="23"/>
      <c r="K83" s="22"/>
      <c r="L83" s="22"/>
    </row>
    <row r="84" spans="1:12" ht="12" customHeight="1" x14ac:dyDescent="0.2">
      <c r="A84" s="22"/>
      <c r="B84" s="22"/>
      <c r="C84" s="22"/>
      <c r="D84" s="23"/>
      <c r="E84" s="22"/>
      <c r="F84" s="23"/>
      <c r="G84" s="23"/>
      <c r="H84" s="23"/>
      <c r="I84" s="23"/>
      <c r="J84" s="23"/>
      <c r="K84" s="22"/>
      <c r="L84" s="22"/>
    </row>
    <row r="85" spans="1:12" ht="12" customHeight="1" x14ac:dyDescent="0.2">
      <c r="A85" s="22"/>
      <c r="B85" s="22"/>
      <c r="C85" s="22"/>
      <c r="D85" s="23"/>
      <c r="E85" s="22"/>
      <c r="F85" s="23"/>
      <c r="G85" s="23"/>
      <c r="H85" s="23"/>
      <c r="I85" s="23"/>
      <c r="J85" s="23"/>
      <c r="K85" s="22"/>
      <c r="L85" s="22"/>
    </row>
    <row r="86" spans="1:12" ht="12" customHeight="1" x14ac:dyDescent="0.2">
      <c r="A86" s="22"/>
      <c r="B86" s="22"/>
      <c r="C86" s="22"/>
      <c r="D86" s="23"/>
      <c r="E86" s="22"/>
      <c r="F86" s="23"/>
      <c r="G86" s="23"/>
      <c r="H86" s="23"/>
      <c r="I86" s="23"/>
      <c r="J86" s="23"/>
      <c r="K86" s="22"/>
      <c r="L86" s="22"/>
    </row>
    <row r="87" spans="1:12" ht="12" customHeight="1" x14ac:dyDescent="0.2">
      <c r="A87" s="22"/>
      <c r="B87" s="22"/>
      <c r="C87" s="22"/>
      <c r="D87" s="23"/>
      <c r="E87" s="22"/>
      <c r="F87" s="23"/>
      <c r="G87" s="23"/>
      <c r="H87" s="23"/>
      <c r="I87" s="23"/>
      <c r="J87" s="23"/>
      <c r="K87" s="22"/>
      <c r="L87" s="22"/>
    </row>
    <row r="88" spans="1:12" ht="12" customHeight="1" x14ac:dyDescent="0.2">
      <c r="A88" s="22"/>
      <c r="B88" s="22"/>
      <c r="C88" s="22"/>
      <c r="D88" s="23"/>
      <c r="E88" s="22"/>
      <c r="F88" s="23"/>
      <c r="G88" s="23"/>
      <c r="H88" s="23"/>
      <c r="I88" s="23"/>
      <c r="J88" s="23"/>
      <c r="K88" s="22"/>
      <c r="L88" s="22"/>
    </row>
    <row r="89" spans="1:12" ht="12" customHeight="1" x14ac:dyDescent="0.2">
      <c r="A89" s="22"/>
      <c r="B89" s="22"/>
      <c r="C89" s="22"/>
      <c r="D89" s="23"/>
      <c r="E89" s="22"/>
      <c r="F89" s="23"/>
      <c r="G89" s="23"/>
      <c r="H89" s="23"/>
      <c r="I89" s="23"/>
      <c r="J89" s="23"/>
      <c r="K89" s="22"/>
      <c r="L89" s="22"/>
    </row>
    <row r="90" spans="1:12" ht="12" customHeight="1" x14ac:dyDescent="0.2">
      <c r="A90" s="22"/>
      <c r="B90" s="22"/>
      <c r="C90" s="22"/>
      <c r="D90" s="23"/>
      <c r="E90" s="22"/>
      <c r="F90" s="23"/>
      <c r="G90" s="23"/>
      <c r="H90" s="23"/>
      <c r="I90" s="23"/>
      <c r="J90" s="23"/>
      <c r="K90" s="22"/>
      <c r="L90" s="22"/>
    </row>
    <row r="91" spans="1:12" ht="12" customHeight="1" x14ac:dyDescent="0.2">
      <c r="A91" s="22"/>
      <c r="B91" s="22"/>
      <c r="C91" s="22"/>
      <c r="D91" s="23"/>
      <c r="E91" s="22"/>
      <c r="F91" s="23"/>
      <c r="G91" s="23"/>
      <c r="H91" s="23"/>
      <c r="I91" s="23"/>
      <c r="J91" s="23"/>
      <c r="K91" s="22"/>
      <c r="L91" s="22"/>
    </row>
    <row r="92" spans="1:12" ht="12" customHeight="1" x14ac:dyDescent="0.2">
      <c r="A92" s="22"/>
      <c r="B92" s="22"/>
      <c r="C92" s="22"/>
      <c r="D92" s="23"/>
      <c r="E92" s="22"/>
      <c r="F92" s="23"/>
      <c r="G92" s="23"/>
      <c r="H92" s="23"/>
      <c r="I92" s="23"/>
      <c r="J92" s="23"/>
      <c r="K92" s="22"/>
      <c r="L92" s="22"/>
    </row>
    <row r="93" spans="1:12" ht="12" customHeight="1" x14ac:dyDescent="0.2">
      <c r="A93" s="22"/>
      <c r="B93" s="22"/>
      <c r="C93" s="22"/>
      <c r="D93" s="23"/>
      <c r="E93" s="22"/>
      <c r="F93" s="23"/>
      <c r="G93" s="23"/>
      <c r="H93" s="23"/>
      <c r="I93" s="23"/>
      <c r="J93" s="23"/>
      <c r="K93" s="22"/>
      <c r="L93" s="22"/>
    </row>
    <row r="94" spans="1:12" ht="12" customHeight="1" x14ac:dyDescent="0.2">
      <c r="A94" s="22"/>
      <c r="B94" s="22"/>
      <c r="C94" s="22"/>
      <c r="D94" s="23"/>
      <c r="E94" s="22"/>
      <c r="F94" s="23"/>
      <c r="G94" s="23"/>
      <c r="H94" s="23"/>
      <c r="I94" s="23"/>
      <c r="J94" s="23"/>
      <c r="K94" s="22"/>
      <c r="L94" s="22"/>
    </row>
    <row r="95" spans="1:12" ht="12" customHeight="1" x14ac:dyDescent="0.2">
      <c r="A95" s="22"/>
      <c r="B95" s="22"/>
      <c r="C95" s="22"/>
      <c r="D95" s="23"/>
      <c r="E95" s="22"/>
      <c r="F95" s="23"/>
      <c r="G95" s="23"/>
      <c r="H95" s="23"/>
      <c r="I95" s="23"/>
      <c r="J95" s="23"/>
      <c r="K95" s="22"/>
      <c r="L95" s="22"/>
    </row>
    <row r="96" spans="1:12" ht="12" customHeight="1" x14ac:dyDescent="0.2">
      <c r="A96" s="22"/>
      <c r="B96" s="22"/>
      <c r="C96" s="22"/>
      <c r="D96" s="23"/>
      <c r="E96" s="22"/>
      <c r="F96" s="23"/>
      <c r="G96" s="23"/>
      <c r="H96" s="23"/>
      <c r="I96" s="23"/>
      <c r="J96" s="23"/>
      <c r="K96" s="22"/>
      <c r="L96" s="22"/>
    </row>
    <row r="97" spans="1:12" ht="12" customHeight="1" x14ac:dyDescent="0.2">
      <c r="A97" s="22"/>
      <c r="B97" s="22"/>
      <c r="C97" s="22"/>
      <c r="D97" s="23"/>
      <c r="E97" s="22"/>
      <c r="F97" s="23"/>
      <c r="G97" s="23"/>
      <c r="H97" s="23"/>
      <c r="I97" s="23"/>
      <c r="J97" s="23"/>
      <c r="K97" s="22"/>
      <c r="L97" s="22"/>
    </row>
    <row r="98" spans="1:12" ht="12" customHeight="1" x14ac:dyDescent="0.2">
      <c r="A98" s="22"/>
      <c r="B98" s="22"/>
      <c r="C98" s="22"/>
      <c r="D98" s="23"/>
      <c r="E98" s="22"/>
      <c r="F98" s="23"/>
      <c r="G98" s="23"/>
      <c r="H98" s="23"/>
      <c r="I98" s="23"/>
      <c r="J98" s="23"/>
      <c r="K98" s="22"/>
      <c r="L98" s="22"/>
    </row>
    <row r="99" spans="1:12" ht="12" customHeight="1" x14ac:dyDescent="0.2">
      <c r="A99" s="22"/>
      <c r="B99" s="22"/>
      <c r="C99" s="22"/>
      <c r="D99" s="23"/>
      <c r="E99" s="22"/>
      <c r="F99" s="23"/>
      <c r="G99" s="23"/>
      <c r="H99" s="23"/>
      <c r="I99" s="23"/>
      <c r="J99" s="23"/>
      <c r="K99" s="22"/>
      <c r="L99" s="22"/>
    </row>
    <row r="100" spans="1:12" ht="12" customHeight="1" x14ac:dyDescent="0.2">
      <c r="A100" s="22"/>
      <c r="B100" s="22"/>
      <c r="C100" s="22"/>
      <c r="D100" s="23"/>
      <c r="E100" s="22"/>
      <c r="F100" s="23"/>
      <c r="G100" s="23"/>
      <c r="H100" s="23"/>
      <c r="I100" s="23"/>
      <c r="J100" s="23"/>
      <c r="K100" s="22"/>
      <c r="L100" s="22"/>
    </row>
  </sheetData>
  <mergeCells count="21">
    <mergeCell ref="B2:J2"/>
    <mergeCell ref="B3:J3"/>
    <mergeCell ref="B4:J4"/>
    <mergeCell ref="B5:J5"/>
    <mergeCell ref="B7:J7"/>
    <mergeCell ref="B37:J37"/>
    <mergeCell ref="B38:J38"/>
    <mergeCell ref="B39:J39"/>
    <mergeCell ref="B9:J9"/>
    <mergeCell ref="B10:J10"/>
    <mergeCell ref="D11:E11"/>
    <mergeCell ref="H11:J11"/>
    <mergeCell ref="B11:C11"/>
    <mergeCell ref="F11:G11"/>
    <mergeCell ref="B13:B14"/>
    <mergeCell ref="C13:C14"/>
    <mergeCell ref="J13:J14"/>
    <mergeCell ref="H13:I13"/>
    <mergeCell ref="D13:D14"/>
    <mergeCell ref="E13:E14"/>
    <mergeCell ref="F13:G13"/>
  </mergeCells>
  <printOptions horizontalCentered="1"/>
  <pageMargins left="0.19685039370078741" right="0.19685039370078741" top="0.39370078740157483" bottom="0.39370078740157483" header="0" footer="0.19685039370078741"/>
  <pageSetup scale="89" orientation="landscape" r:id="rId1"/>
  <headerFooter>
    <oddFooter>&amp;C&amp;A&amp;RPágina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99"/>
  <sheetViews>
    <sheetView showGridLines="0" zoomScaleNormal="100" workbookViewId="0"/>
  </sheetViews>
  <sheetFormatPr defaultColWidth="14.42578125" defaultRowHeight="15" customHeight="1" x14ac:dyDescent="0.2"/>
  <cols>
    <col min="1" max="1" width="4.7109375" customWidth="1"/>
    <col min="2" max="2" width="6.7109375" customWidth="1"/>
    <col min="3" max="3" width="60.7109375" customWidth="1"/>
    <col min="4" max="4" width="10.7109375" customWidth="1"/>
    <col min="5" max="19" width="12.7109375" customWidth="1"/>
    <col min="20" max="39" width="9" customWidth="1"/>
  </cols>
  <sheetData>
    <row r="1" spans="1:39" ht="18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</row>
    <row r="2" spans="1:39" ht="18" customHeight="1" x14ac:dyDescent="0.2">
      <c r="A2" s="1"/>
      <c r="B2" s="253" t="s">
        <v>0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4"/>
      <c r="T2" s="1"/>
      <c r="U2" s="1"/>
      <c r="V2" s="1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</row>
    <row r="3" spans="1:39" ht="18" customHeight="1" x14ac:dyDescent="0.2">
      <c r="A3" s="1"/>
      <c r="B3" s="254" t="s">
        <v>1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7"/>
      <c r="T3" s="1"/>
      <c r="U3" s="1"/>
      <c r="V3" s="1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</row>
    <row r="4" spans="1:39" ht="18" customHeight="1" x14ac:dyDescent="0.2">
      <c r="A4" s="1"/>
      <c r="B4" s="254" t="s">
        <v>2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7"/>
      <c r="T4" s="1"/>
      <c r="U4" s="1"/>
      <c r="V4" s="1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</row>
    <row r="5" spans="1:39" ht="18" customHeight="1" x14ac:dyDescent="0.2">
      <c r="A5" s="1"/>
      <c r="B5" s="255" t="s">
        <v>3</v>
      </c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50"/>
      <c r="T5" s="1"/>
      <c r="U5" s="1"/>
      <c r="V5" s="1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</row>
    <row r="6" spans="1:39" ht="4.5" customHeight="1" x14ac:dyDescent="0.2">
      <c r="A6" s="1"/>
      <c r="B6" s="3"/>
      <c r="C6" s="3"/>
      <c r="D6" s="3"/>
      <c r="E6" s="20"/>
      <c r="F6" s="3"/>
      <c r="G6" s="1"/>
      <c r="H6" s="4"/>
      <c r="I6" s="5"/>
      <c r="J6" s="5"/>
      <c r="K6" s="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</row>
    <row r="7" spans="1:39" ht="18" customHeight="1" x14ac:dyDescent="0.2">
      <c r="A7" s="1"/>
      <c r="B7" s="239" t="s">
        <v>172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35"/>
      <c r="T7" s="1"/>
      <c r="U7" s="1"/>
      <c r="V7" s="1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</row>
    <row r="8" spans="1:39" ht="18" customHeight="1" x14ac:dyDescent="0.2">
      <c r="A8" s="1"/>
      <c r="B8" s="241" t="s">
        <v>173</v>
      </c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35"/>
      <c r="T8" s="1"/>
      <c r="U8" s="1"/>
      <c r="V8" s="1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</row>
    <row r="9" spans="1:39" ht="18" customHeight="1" x14ac:dyDescent="0.2">
      <c r="A9" s="1"/>
      <c r="B9" s="239" t="s">
        <v>174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35"/>
      <c r="T9" s="1"/>
      <c r="U9" s="1"/>
      <c r="V9" s="1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</row>
    <row r="10" spans="1:39" ht="18" customHeight="1" x14ac:dyDescent="0.2">
      <c r="A10" s="1"/>
      <c r="B10" s="239" t="s">
        <v>175</v>
      </c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35"/>
      <c r="T10" s="1"/>
      <c r="U10" s="1"/>
      <c r="V10" s="1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</row>
    <row r="11" spans="1:39" ht="4.5" customHeight="1" x14ac:dyDescent="0.2">
      <c r="A11" s="1"/>
      <c r="B11" s="53"/>
      <c r="C11" s="53"/>
      <c r="D11" s="53"/>
      <c r="E11" s="21"/>
      <c r="F11" s="53"/>
      <c r="G11" s="53"/>
      <c r="H11" s="53"/>
      <c r="I11" s="53"/>
      <c r="J11" s="53"/>
      <c r="K11" s="5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18" customHeight="1" x14ac:dyDescent="0.2">
      <c r="A12" s="1"/>
      <c r="B12" s="257" t="s">
        <v>176</v>
      </c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35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4.5" customHeight="1" x14ac:dyDescent="0.2">
      <c r="A13" s="1"/>
      <c r="B13" s="30"/>
      <c r="C13" s="30"/>
      <c r="D13" s="30"/>
      <c r="E13" s="30"/>
      <c r="F13" s="30"/>
      <c r="G13" s="30"/>
      <c r="H13" s="30"/>
      <c r="I13" s="30"/>
      <c r="J13" s="30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60" customHeight="1" x14ac:dyDescent="0.2">
      <c r="A14" s="1"/>
      <c r="B14" s="54" t="s">
        <v>10</v>
      </c>
      <c r="C14" s="55" t="s">
        <v>177</v>
      </c>
      <c r="D14" s="56" t="s">
        <v>14</v>
      </c>
      <c r="E14" s="57" t="s">
        <v>178</v>
      </c>
      <c r="F14" s="57" t="s">
        <v>179</v>
      </c>
      <c r="G14" s="57" t="s">
        <v>180</v>
      </c>
      <c r="H14" s="57" t="s">
        <v>181</v>
      </c>
      <c r="I14" s="57" t="s">
        <v>182</v>
      </c>
      <c r="J14" s="57" t="s">
        <v>183</v>
      </c>
      <c r="K14" s="57" t="s">
        <v>184</v>
      </c>
      <c r="L14" s="57" t="s">
        <v>185</v>
      </c>
      <c r="M14" s="57" t="s">
        <v>186</v>
      </c>
      <c r="N14" s="57" t="s">
        <v>187</v>
      </c>
      <c r="O14" s="57" t="s">
        <v>188</v>
      </c>
      <c r="P14" s="57" t="s">
        <v>189</v>
      </c>
      <c r="Q14" s="57" t="s">
        <v>190</v>
      </c>
      <c r="R14" s="57" t="s">
        <v>122</v>
      </c>
      <c r="S14" s="57" t="s">
        <v>165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4.5" customHeight="1" x14ac:dyDescent="0.2">
      <c r="A15" s="1"/>
      <c r="B15" s="58"/>
      <c r="C15" s="59"/>
      <c r="D15" s="60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8" customHeight="1" x14ac:dyDescent="0.2">
      <c r="A16" s="1"/>
      <c r="B16" s="62" t="s">
        <v>191</v>
      </c>
      <c r="C16" s="63" t="s">
        <v>192</v>
      </c>
      <c r="D16" s="16" t="s">
        <v>81</v>
      </c>
      <c r="E16" s="11">
        <v>14.3</v>
      </c>
      <c r="F16" s="11">
        <v>14.15</v>
      </c>
      <c r="G16" s="11">
        <v>14.22</v>
      </c>
      <c r="H16" s="11">
        <v>14.22</v>
      </c>
      <c r="I16" s="11">
        <v>14.6</v>
      </c>
      <c r="J16" s="11">
        <v>13.99</v>
      </c>
      <c r="K16" s="11">
        <v>14.39</v>
      </c>
      <c r="L16" s="11">
        <v>13.19</v>
      </c>
      <c r="M16" s="11">
        <v>11.39</v>
      </c>
      <c r="N16" s="11">
        <v>6.44</v>
      </c>
      <c r="O16" s="11">
        <v>8.0500000000000007</v>
      </c>
      <c r="P16" s="11">
        <v>10.7</v>
      </c>
      <c r="Q16" s="11">
        <v>11.8</v>
      </c>
      <c r="R16" s="11"/>
      <c r="S16" s="1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18" customHeight="1" x14ac:dyDescent="0.2">
      <c r="A17" s="1"/>
      <c r="B17" s="62" t="s">
        <v>193</v>
      </c>
      <c r="C17" s="63" t="s">
        <v>194</v>
      </c>
      <c r="D17" s="16" t="s">
        <v>26</v>
      </c>
      <c r="E17" s="11">
        <v>12.67</v>
      </c>
      <c r="F17" s="11">
        <v>12.38</v>
      </c>
      <c r="G17" s="11">
        <v>12.52</v>
      </c>
      <c r="H17" s="11">
        <v>12.52</v>
      </c>
      <c r="I17" s="11">
        <v>13.25</v>
      </c>
      <c r="J17" s="11">
        <v>12</v>
      </c>
      <c r="K17" s="11">
        <v>12.86</v>
      </c>
      <c r="L17" s="11">
        <v>10.42</v>
      </c>
      <c r="M17" s="11">
        <v>7.01</v>
      </c>
      <c r="N17" s="11">
        <v>2.48</v>
      </c>
      <c r="O17" s="11">
        <v>4.05</v>
      </c>
      <c r="P17" s="11">
        <v>6.48</v>
      </c>
      <c r="Q17" s="11">
        <v>7.8</v>
      </c>
      <c r="R17" s="11"/>
      <c r="S17" s="11">
        <f t="shared" ref="S17:S18" si="0">SUM(B17:R17)</f>
        <v>126.44000000000001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8" customHeight="1" x14ac:dyDescent="0.2">
      <c r="A18" s="1"/>
      <c r="B18" s="62" t="s">
        <v>195</v>
      </c>
      <c r="C18" s="63" t="s">
        <v>196</v>
      </c>
      <c r="D18" s="16" t="s">
        <v>26</v>
      </c>
      <c r="E18" s="11">
        <f t="shared" ref="E18:Q18" si="1">E17</f>
        <v>12.67</v>
      </c>
      <c r="F18" s="11">
        <f t="shared" si="1"/>
        <v>12.38</v>
      </c>
      <c r="G18" s="11">
        <f t="shared" si="1"/>
        <v>12.52</v>
      </c>
      <c r="H18" s="11">
        <f t="shared" si="1"/>
        <v>12.52</v>
      </c>
      <c r="I18" s="11">
        <f t="shared" si="1"/>
        <v>13.25</v>
      </c>
      <c r="J18" s="11">
        <f t="shared" si="1"/>
        <v>12</v>
      </c>
      <c r="K18" s="11">
        <f t="shared" si="1"/>
        <v>12.86</v>
      </c>
      <c r="L18" s="11">
        <f t="shared" si="1"/>
        <v>10.42</v>
      </c>
      <c r="M18" s="11">
        <f t="shared" si="1"/>
        <v>7.01</v>
      </c>
      <c r="N18" s="11">
        <f t="shared" si="1"/>
        <v>2.48</v>
      </c>
      <c r="O18" s="11">
        <f t="shared" si="1"/>
        <v>4.05</v>
      </c>
      <c r="P18" s="11">
        <f t="shared" si="1"/>
        <v>6.48</v>
      </c>
      <c r="Q18" s="11">
        <f t="shared" si="1"/>
        <v>7.8</v>
      </c>
      <c r="R18" s="11"/>
      <c r="S18" s="11">
        <f t="shared" si="0"/>
        <v>126.44000000000001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8" customHeight="1" x14ac:dyDescent="0.2">
      <c r="A19" s="1"/>
      <c r="B19" s="62" t="s">
        <v>197</v>
      </c>
      <c r="C19" s="63" t="s">
        <v>198</v>
      </c>
      <c r="D19" s="16" t="s">
        <v>81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/>
      <c r="S19" s="1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8" customHeight="1" x14ac:dyDescent="0.2">
      <c r="A20" s="1"/>
      <c r="B20" s="62" t="s">
        <v>199</v>
      </c>
      <c r="C20" s="63" t="s">
        <v>200</v>
      </c>
      <c r="D20" s="16" t="s">
        <v>26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/>
      <c r="S20" s="11">
        <f>SUM(B20:R20)</f>
        <v>0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8" customHeight="1" x14ac:dyDescent="0.2">
      <c r="A21" s="1"/>
      <c r="B21" s="62" t="s">
        <v>201</v>
      </c>
      <c r="C21" s="63" t="s">
        <v>202</v>
      </c>
      <c r="D21" s="16" t="s">
        <v>81</v>
      </c>
      <c r="E21" s="11">
        <v>3</v>
      </c>
      <c r="F21" s="11">
        <v>3</v>
      </c>
      <c r="G21" s="11">
        <v>3</v>
      </c>
      <c r="H21" s="11">
        <v>3</v>
      </c>
      <c r="I21" s="11">
        <v>3</v>
      </c>
      <c r="J21" s="11">
        <v>3</v>
      </c>
      <c r="K21" s="11">
        <v>3</v>
      </c>
      <c r="L21" s="11">
        <v>3</v>
      </c>
      <c r="M21" s="11">
        <v>3</v>
      </c>
      <c r="N21" s="11">
        <v>3</v>
      </c>
      <c r="O21" s="11">
        <v>3</v>
      </c>
      <c r="P21" s="11">
        <v>3</v>
      </c>
      <c r="Q21" s="11">
        <v>3</v>
      </c>
      <c r="R21" s="11"/>
      <c r="S21" s="1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4.5" customHeight="1" x14ac:dyDescent="0.2">
      <c r="A22" s="1"/>
      <c r="B22" s="64"/>
      <c r="C22" s="65"/>
      <c r="D22" s="66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8" customHeight="1" x14ac:dyDescent="0.2">
      <c r="A23" s="1"/>
      <c r="B23" s="62" t="s">
        <v>21</v>
      </c>
      <c r="C23" s="67" t="s">
        <v>22</v>
      </c>
      <c r="D23" s="68"/>
      <c r="E23" s="69"/>
      <c r="F23" s="69"/>
      <c r="G23" s="69"/>
      <c r="H23" s="69"/>
      <c r="I23" s="69"/>
      <c r="J23" s="70"/>
      <c r="K23" s="70"/>
      <c r="L23" s="70"/>
      <c r="M23" s="70"/>
      <c r="N23" s="70"/>
      <c r="O23" s="70"/>
      <c r="P23" s="70"/>
      <c r="Q23" s="70"/>
      <c r="R23" s="69"/>
      <c r="S23" s="11">
        <f t="shared" ref="S23:S48" si="2">SUM(B23:R23)</f>
        <v>0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8" customHeight="1" x14ac:dyDescent="0.2">
      <c r="A24" s="1"/>
      <c r="B24" s="7" t="s">
        <v>23</v>
      </c>
      <c r="C24" s="12" t="s">
        <v>25</v>
      </c>
      <c r="D24" s="71" t="s">
        <v>26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>
        <f t="shared" si="2"/>
        <v>0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8" customHeight="1" x14ac:dyDescent="0.2">
      <c r="A25" s="1"/>
      <c r="B25" s="7" t="s">
        <v>27</v>
      </c>
      <c r="C25" s="12" t="s">
        <v>28</v>
      </c>
      <c r="D25" s="71" t="s">
        <v>26</v>
      </c>
      <c r="E25" s="11"/>
      <c r="F25" s="11"/>
      <c r="G25" s="11"/>
      <c r="H25" s="11"/>
      <c r="I25" s="11"/>
      <c r="J25" s="14"/>
      <c r="K25" s="14"/>
      <c r="L25" s="14"/>
      <c r="M25" s="14"/>
      <c r="N25" s="14"/>
      <c r="O25" s="14"/>
      <c r="P25" s="14"/>
      <c r="Q25" s="14"/>
      <c r="R25" s="11"/>
      <c r="S25" s="11">
        <f t="shared" si="2"/>
        <v>0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8" customHeight="1" x14ac:dyDescent="0.2">
      <c r="A26" s="1"/>
      <c r="B26" s="62" t="s">
        <v>29</v>
      </c>
      <c r="C26" s="67" t="s">
        <v>30</v>
      </c>
      <c r="D26" s="68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11">
        <f t="shared" si="2"/>
        <v>0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8" customHeight="1" x14ac:dyDescent="0.2">
      <c r="A27" s="1"/>
      <c r="B27" s="7" t="s">
        <v>31</v>
      </c>
      <c r="C27" s="12" t="s">
        <v>32</v>
      </c>
      <c r="D27" s="16" t="s">
        <v>33</v>
      </c>
      <c r="E27" s="11">
        <f>1.35*0.15*3</f>
        <v>0.60750000000000004</v>
      </c>
      <c r="F27" s="11">
        <f t="shared" ref="F27:G27" si="3">E27</f>
        <v>0.60750000000000004</v>
      </c>
      <c r="G27" s="11">
        <f t="shared" si="3"/>
        <v>0.60750000000000004</v>
      </c>
      <c r="H27" s="11">
        <f>2.35*3*0.15</f>
        <v>1.0575000000000001</v>
      </c>
      <c r="I27" s="11">
        <f>F27</f>
        <v>0.60750000000000004</v>
      </c>
      <c r="J27" s="11">
        <v>0</v>
      </c>
      <c r="K27" s="11">
        <v>0</v>
      </c>
      <c r="L27" s="11">
        <v>0</v>
      </c>
      <c r="M27" s="11">
        <f>(0.8+2.42+0.7)*3*0.15</f>
        <v>1.764</v>
      </c>
      <c r="N27" s="11">
        <f>1.28*0.15*3</f>
        <v>0.57600000000000007</v>
      </c>
      <c r="O27" s="11">
        <f>1*3*0.15</f>
        <v>0.44999999999999996</v>
      </c>
      <c r="P27" s="11">
        <f>1.8*3*0.15</f>
        <v>0.81</v>
      </c>
      <c r="Q27" s="11">
        <v>0</v>
      </c>
      <c r="R27" s="72"/>
      <c r="S27" s="11">
        <f t="shared" si="2"/>
        <v>7.0875000000000004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8" customHeight="1" x14ac:dyDescent="0.2">
      <c r="A28" s="1"/>
      <c r="B28" s="7" t="s">
        <v>34</v>
      </c>
      <c r="C28" s="12" t="s">
        <v>36</v>
      </c>
      <c r="D28" s="13" t="s">
        <v>26</v>
      </c>
      <c r="E28" s="73">
        <v>4.26</v>
      </c>
      <c r="F28" s="73">
        <v>0.87</v>
      </c>
      <c r="G28" s="73">
        <v>0.84</v>
      </c>
      <c r="H28" s="73">
        <v>0</v>
      </c>
      <c r="I28" s="73">
        <v>0.94</v>
      </c>
      <c r="J28" s="73">
        <v>0</v>
      </c>
      <c r="K28" s="73">
        <f>1.71+0.87</f>
        <v>2.58</v>
      </c>
      <c r="L28" s="73">
        <v>0</v>
      </c>
      <c r="M28" s="73">
        <v>1.2</v>
      </c>
      <c r="N28" s="11">
        <v>0</v>
      </c>
      <c r="O28" s="11">
        <v>0</v>
      </c>
      <c r="P28" s="11">
        <v>0.91</v>
      </c>
      <c r="Q28" s="11">
        <v>0</v>
      </c>
      <c r="R28" s="11"/>
      <c r="S28" s="11">
        <f t="shared" si="2"/>
        <v>11.6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18" customHeight="1" x14ac:dyDescent="0.2">
      <c r="A29" s="1"/>
      <c r="B29" s="7" t="s">
        <v>37</v>
      </c>
      <c r="C29" s="12" t="s">
        <v>203</v>
      </c>
      <c r="D29" s="16" t="s">
        <v>46</v>
      </c>
      <c r="E29" s="11">
        <v>4.26</v>
      </c>
      <c r="F29" s="11">
        <v>0</v>
      </c>
      <c r="G29" s="11">
        <v>0.88</v>
      </c>
      <c r="H29" s="11">
        <v>0.88</v>
      </c>
      <c r="I29" s="11">
        <v>0.94</v>
      </c>
      <c r="J29" s="11">
        <v>0</v>
      </c>
      <c r="K29" s="11"/>
      <c r="L29" s="11">
        <v>0</v>
      </c>
      <c r="M29" s="11">
        <v>0</v>
      </c>
      <c r="N29" s="11">
        <v>0</v>
      </c>
      <c r="O29" s="11">
        <v>0</v>
      </c>
      <c r="P29" s="11">
        <v>0.45</v>
      </c>
      <c r="Q29" s="11">
        <v>0</v>
      </c>
      <c r="R29" s="11"/>
      <c r="S29" s="11">
        <f t="shared" si="2"/>
        <v>7.4099999999999993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8" customHeight="1" x14ac:dyDescent="0.2">
      <c r="A30" s="1"/>
      <c r="B30" s="7" t="s">
        <v>39</v>
      </c>
      <c r="C30" s="139" t="s">
        <v>310</v>
      </c>
      <c r="D30" s="16" t="s">
        <v>33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>
        <v>9.1893600000000006</v>
      </c>
      <c r="S30" s="11">
        <f t="shared" si="2"/>
        <v>9.1893600000000006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18" customHeight="1" x14ac:dyDescent="0.2">
      <c r="A31" s="1"/>
      <c r="B31" s="62" t="s">
        <v>40</v>
      </c>
      <c r="C31" s="67" t="s">
        <v>41</v>
      </c>
      <c r="D31" s="68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11">
        <f t="shared" si="2"/>
        <v>0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8" customHeight="1" x14ac:dyDescent="0.2">
      <c r="A32" s="1"/>
      <c r="B32" s="7" t="s">
        <v>42</v>
      </c>
      <c r="C32" s="9" t="s">
        <v>45</v>
      </c>
      <c r="D32" s="8" t="s">
        <v>46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1</v>
      </c>
      <c r="N32" s="11">
        <v>0</v>
      </c>
      <c r="O32" s="11">
        <v>0</v>
      </c>
      <c r="P32" s="11">
        <v>1</v>
      </c>
      <c r="Q32" s="11">
        <v>0</v>
      </c>
      <c r="R32" s="11"/>
      <c r="S32" s="11">
        <f t="shared" si="2"/>
        <v>2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24" customHeight="1" x14ac:dyDescent="0.2">
      <c r="A33" s="1"/>
      <c r="B33" s="7" t="s">
        <v>47</v>
      </c>
      <c r="C33" s="12" t="s">
        <v>204</v>
      </c>
      <c r="D33" s="16" t="s">
        <v>46</v>
      </c>
      <c r="E33" s="11">
        <v>2</v>
      </c>
      <c r="F33" s="11">
        <v>2</v>
      </c>
      <c r="G33" s="11">
        <v>2</v>
      </c>
      <c r="H33" s="11">
        <v>2</v>
      </c>
      <c r="I33" s="11">
        <v>2</v>
      </c>
      <c r="J33" s="11">
        <v>2</v>
      </c>
      <c r="K33" s="11">
        <v>2</v>
      </c>
      <c r="L33" s="11">
        <v>0</v>
      </c>
      <c r="M33" s="11">
        <v>2</v>
      </c>
      <c r="N33" s="11">
        <v>0</v>
      </c>
      <c r="O33" s="11">
        <v>0</v>
      </c>
      <c r="P33" s="11">
        <v>0</v>
      </c>
      <c r="Q33" s="11">
        <v>0</v>
      </c>
      <c r="R33" s="11"/>
      <c r="S33" s="11">
        <f t="shared" si="2"/>
        <v>16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24" customHeight="1" x14ac:dyDescent="0.2">
      <c r="A34" s="1"/>
      <c r="B34" s="7" t="s">
        <v>49</v>
      </c>
      <c r="C34" s="12" t="s">
        <v>205</v>
      </c>
      <c r="D34" s="16" t="s">
        <v>46</v>
      </c>
      <c r="E34" s="11">
        <f t="shared" ref="E34:Q34" si="4">E33</f>
        <v>2</v>
      </c>
      <c r="F34" s="11">
        <f t="shared" si="4"/>
        <v>2</v>
      </c>
      <c r="G34" s="11">
        <f t="shared" si="4"/>
        <v>2</v>
      </c>
      <c r="H34" s="11">
        <f t="shared" si="4"/>
        <v>2</v>
      </c>
      <c r="I34" s="11">
        <f t="shared" si="4"/>
        <v>2</v>
      </c>
      <c r="J34" s="11">
        <f t="shared" si="4"/>
        <v>2</v>
      </c>
      <c r="K34" s="11">
        <f t="shared" si="4"/>
        <v>2</v>
      </c>
      <c r="L34" s="11">
        <f t="shared" si="4"/>
        <v>0</v>
      </c>
      <c r="M34" s="11">
        <f t="shared" si="4"/>
        <v>2</v>
      </c>
      <c r="N34" s="11">
        <f t="shared" si="4"/>
        <v>0</v>
      </c>
      <c r="O34" s="11">
        <f t="shared" si="4"/>
        <v>0</v>
      </c>
      <c r="P34" s="11">
        <f t="shared" si="4"/>
        <v>0</v>
      </c>
      <c r="Q34" s="11">
        <f t="shared" si="4"/>
        <v>0</v>
      </c>
      <c r="R34" s="11"/>
      <c r="S34" s="11">
        <f t="shared" si="2"/>
        <v>16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36" customHeight="1" x14ac:dyDescent="0.2">
      <c r="A35" s="1"/>
      <c r="B35" s="7" t="s">
        <v>51</v>
      </c>
      <c r="C35" s="12" t="s">
        <v>206</v>
      </c>
      <c r="D35" s="16" t="s">
        <v>46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  <c r="J35" s="11">
        <v>1</v>
      </c>
      <c r="K35" s="11">
        <v>1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0"/>
      <c r="S35" s="11">
        <f t="shared" si="2"/>
        <v>7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48" customHeight="1" x14ac:dyDescent="0.2">
      <c r="A36" s="1"/>
      <c r="B36" s="7" t="s">
        <v>54</v>
      </c>
      <c r="C36" s="12" t="s">
        <v>207</v>
      </c>
      <c r="D36" s="16" t="s">
        <v>46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  <c r="J36" s="11">
        <v>1</v>
      </c>
      <c r="K36" s="11">
        <v>1</v>
      </c>
      <c r="L36" s="11">
        <v>0</v>
      </c>
      <c r="M36" s="11">
        <v>2</v>
      </c>
      <c r="N36" s="11">
        <v>0</v>
      </c>
      <c r="O36" s="11">
        <v>0</v>
      </c>
      <c r="P36" s="11">
        <v>0</v>
      </c>
      <c r="Q36" s="11">
        <v>0</v>
      </c>
      <c r="R36" s="11"/>
      <c r="S36" s="11">
        <f t="shared" si="2"/>
        <v>9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24" customHeight="1" x14ac:dyDescent="0.2">
      <c r="A37" s="1"/>
      <c r="B37" s="7" t="s">
        <v>56</v>
      </c>
      <c r="C37" s="12" t="s">
        <v>57</v>
      </c>
      <c r="D37" s="13" t="s">
        <v>46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  <c r="J37" s="11">
        <v>1</v>
      </c>
      <c r="K37" s="11">
        <v>1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/>
      <c r="S37" s="11">
        <f t="shared" si="2"/>
        <v>7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18" customHeight="1" x14ac:dyDescent="0.2">
      <c r="A38" s="1"/>
      <c r="B38" s="7" t="s">
        <v>58</v>
      </c>
      <c r="C38" s="12" t="s">
        <v>208</v>
      </c>
      <c r="D38" s="16" t="s">
        <v>46</v>
      </c>
      <c r="E38" s="11">
        <v>1</v>
      </c>
      <c r="F38" s="11">
        <v>1</v>
      </c>
      <c r="G38" s="11">
        <v>1</v>
      </c>
      <c r="H38" s="11">
        <v>1</v>
      </c>
      <c r="I38" s="11">
        <v>1</v>
      </c>
      <c r="J38" s="11">
        <v>1</v>
      </c>
      <c r="K38" s="11">
        <v>1</v>
      </c>
      <c r="L38" s="11">
        <v>0</v>
      </c>
      <c r="M38" s="11">
        <v>1</v>
      </c>
      <c r="N38" s="11">
        <v>0</v>
      </c>
      <c r="O38" s="11">
        <v>0</v>
      </c>
      <c r="P38" s="11">
        <v>0</v>
      </c>
      <c r="Q38" s="11">
        <v>0</v>
      </c>
      <c r="R38" s="11"/>
      <c r="S38" s="11">
        <f t="shared" si="2"/>
        <v>8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18" customHeight="1" x14ac:dyDescent="0.2">
      <c r="A39" s="1"/>
      <c r="B39" s="7" t="s">
        <v>60</v>
      </c>
      <c r="C39" s="12" t="s">
        <v>209</v>
      </c>
      <c r="D39" s="16" t="s">
        <v>46</v>
      </c>
      <c r="E39" s="11"/>
      <c r="F39" s="11"/>
      <c r="G39" s="11"/>
      <c r="H39" s="11"/>
      <c r="I39" s="11"/>
      <c r="J39" s="11"/>
      <c r="K39" s="11">
        <v>1</v>
      </c>
      <c r="L39" s="11">
        <v>1</v>
      </c>
      <c r="M39" s="11"/>
      <c r="N39" s="11"/>
      <c r="O39" s="11"/>
      <c r="P39" s="11"/>
      <c r="Q39" s="11"/>
      <c r="R39" s="11"/>
      <c r="S39" s="11">
        <f t="shared" si="2"/>
        <v>2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18" customHeight="1" x14ac:dyDescent="0.2">
      <c r="A40" s="1"/>
      <c r="B40" s="7" t="s">
        <v>61</v>
      </c>
      <c r="C40" s="12" t="s">
        <v>62</v>
      </c>
      <c r="D40" s="13" t="s">
        <v>46</v>
      </c>
      <c r="E40" s="11">
        <f t="shared" ref="E40:Q40" si="5">E37</f>
        <v>1</v>
      </c>
      <c r="F40" s="11">
        <f t="shared" si="5"/>
        <v>1</v>
      </c>
      <c r="G40" s="11">
        <f t="shared" si="5"/>
        <v>1</v>
      </c>
      <c r="H40" s="11">
        <f t="shared" si="5"/>
        <v>1</v>
      </c>
      <c r="I40" s="11">
        <f t="shared" si="5"/>
        <v>1</v>
      </c>
      <c r="J40" s="11">
        <f t="shared" si="5"/>
        <v>1</v>
      </c>
      <c r="K40" s="11">
        <f t="shared" si="5"/>
        <v>1</v>
      </c>
      <c r="L40" s="11">
        <f t="shared" si="5"/>
        <v>0</v>
      </c>
      <c r="M40" s="11">
        <f t="shared" si="5"/>
        <v>0</v>
      </c>
      <c r="N40" s="11">
        <f t="shared" si="5"/>
        <v>0</v>
      </c>
      <c r="O40" s="11">
        <f t="shared" si="5"/>
        <v>0</v>
      </c>
      <c r="P40" s="11">
        <f t="shared" si="5"/>
        <v>0</v>
      </c>
      <c r="Q40" s="11">
        <f t="shared" si="5"/>
        <v>0</v>
      </c>
      <c r="R40" s="11"/>
      <c r="S40" s="11">
        <f t="shared" si="2"/>
        <v>7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18" customHeight="1" x14ac:dyDescent="0.2">
      <c r="A41" s="1"/>
      <c r="B41" s="62" t="s">
        <v>63</v>
      </c>
      <c r="C41" s="74" t="s">
        <v>64</v>
      </c>
      <c r="D41" s="68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11">
        <f t="shared" si="2"/>
        <v>0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24" customHeight="1" x14ac:dyDescent="0.2">
      <c r="A42" s="1"/>
      <c r="B42" s="7" t="s">
        <v>65</v>
      </c>
      <c r="C42" s="75" t="s">
        <v>210</v>
      </c>
      <c r="D42" s="16" t="s">
        <v>46</v>
      </c>
      <c r="E42" s="11">
        <v>1</v>
      </c>
      <c r="F42" s="11">
        <v>1</v>
      </c>
      <c r="G42" s="11">
        <v>1</v>
      </c>
      <c r="H42" s="11">
        <v>1</v>
      </c>
      <c r="I42" s="11">
        <v>1</v>
      </c>
      <c r="J42" s="11">
        <v>1</v>
      </c>
      <c r="K42" s="11">
        <v>1</v>
      </c>
      <c r="L42" s="11">
        <v>1</v>
      </c>
      <c r="M42" s="11">
        <v>1</v>
      </c>
      <c r="N42" s="11">
        <v>1</v>
      </c>
      <c r="O42" s="11">
        <v>1</v>
      </c>
      <c r="P42" s="11">
        <v>1</v>
      </c>
      <c r="Q42" s="11">
        <v>1</v>
      </c>
      <c r="R42" s="11"/>
      <c r="S42" s="11">
        <f t="shared" si="2"/>
        <v>13</v>
      </c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24" customHeight="1" x14ac:dyDescent="0.2">
      <c r="A43" s="1"/>
      <c r="B43" s="7" t="s">
        <v>67</v>
      </c>
      <c r="C43" s="75" t="s">
        <v>211</v>
      </c>
      <c r="D43" s="16" t="s">
        <v>46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  <c r="J43" s="11">
        <v>1</v>
      </c>
      <c r="K43" s="11">
        <v>1</v>
      </c>
      <c r="L43" s="11">
        <v>1</v>
      </c>
      <c r="M43" s="11">
        <v>1</v>
      </c>
      <c r="N43" s="11">
        <v>0</v>
      </c>
      <c r="O43" s="11">
        <v>0</v>
      </c>
      <c r="P43" s="11">
        <v>1</v>
      </c>
      <c r="Q43" s="11">
        <v>1</v>
      </c>
      <c r="R43" s="11"/>
      <c r="S43" s="11">
        <f t="shared" si="2"/>
        <v>11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24" customHeight="1" x14ac:dyDescent="0.2">
      <c r="A44" s="1"/>
      <c r="B44" s="7" t="s">
        <v>69</v>
      </c>
      <c r="C44" s="75" t="s">
        <v>212</v>
      </c>
      <c r="D44" s="16" t="s">
        <v>46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1</v>
      </c>
      <c r="O44" s="11">
        <v>1</v>
      </c>
      <c r="P44" s="11">
        <v>0</v>
      </c>
      <c r="Q44" s="11">
        <v>0</v>
      </c>
      <c r="R44" s="11"/>
      <c r="S44" s="11">
        <f t="shared" si="2"/>
        <v>2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18" customHeight="1" x14ac:dyDescent="0.2">
      <c r="A45" s="1"/>
      <c r="B45" s="7" t="s">
        <v>71</v>
      </c>
      <c r="C45" s="75" t="s">
        <v>72</v>
      </c>
      <c r="D45" s="16" t="s">
        <v>46</v>
      </c>
      <c r="E45" s="11">
        <v>1</v>
      </c>
      <c r="F45" s="11">
        <v>1</v>
      </c>
      <c r="G45" s="11">
        <v>1</v>
      </c>
      <c r="H45" s="11">
        <v>1</v>
      </c>
      <c r="I45" s="11">
        <v>1</v>
      </c>
      <c r="J45" s="11">
        <v>1</v>
      </c>
      <c r="K45" s="11">
        <v>1</v>
      </c>
      <c r="L45" s="11">
        <v>1</v>
      </c>
      <c r="M45" s="11">
        <v>1</v>
      </c>
      <c r="N45" s="11">
        <v>0</v>
      </c>
      <c r="O45" s="11">
        <v>0</v>
      </c>
      <c r="P45" s="11">
        <v>0</v>
      </c>
      <c r="Q45" s="11">
        <v>0</v>
      </c>
      <c r="R45" s="11"/>
      <c r="S45" s="11">
        <f t="shared" si="2"/>
        <v>9</v>
      </c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18" customHeight="1" x14ac:dyDescent="0.2">
      <c r="A46" s="1"/>
      <c r="B46" s="7" t="s">
        <v>73</v>
      </c>
      <c r="C46" s="75" t="s">
        <v>74</v>
      </c>
      <c r="D46" s="16" t="s">
        <v>46</v>
      </c>
      <c r="E46" s="11">
        <v>2</v>
      </c>
      <c r="F46" s="11">
        <v>2</v>
      </c>
      <c r="G46" s="11">
        <v>2</v>
      </c>
      <c r="H46" s="11">
        <v>2</v>
      </c>
      <c r="I46" s="11">
        <v>2</v>
      </c>
      <c r="J46" s="11">
        <v>2</v>
      </c>
      <c r="K46" s="11">
        <v>2</v>
      </c>
      <c r="L46" s="11">
        <v>2</v>
      </c>
      <c r="M46" s="11">
        <v>2</v>
      </c>
      <c r="N46" s="11">
        <v>2</v>
      </c>
      <c r="O46" s="11">
        <v>2</v>
      </c>
      <c r="P46" s="11">
        <v>2</v>
      </c>
      <c r="Q46" s="11">
        <v>2</v>
      </c>
      <c r="R46" s="11"/>
      <c r="S46" s="11">
        <f t="shared" si="2"/>
        <v>26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18" customHeight="1" x14ac:dyDescent="0.2">
      <c r="A47" s="1"/>
      <c r="B47" s="7" t="s">
        <v>75</v>
      </c>
      <c r="C47" s="75" t="s">
        <v>76</v>
      </c>
      <c r="D47" s="16" t="s">
        <v>46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  <c r="J47" s="11">
        <v>1</v>
      </c>
      <c r="K47" s="11">
        <v>1</v>
      </c>
      <c r="L47" s="11"/>
      <c r="M47" s="11"/>
      <c r="N47" s="11"/>
      <c r="O47" s="11"/>
      <c r="P47" s="11"/>
      <c r="Q47" s="11"/>
      <c r="R47" s="11"/>
      <c r="S47" s="11">
        <f t="shared" si="2"/>
        <v>7</v>
      </c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18" customHeight="1" x14ac:dyDescent="0.2">
      <c r="A48" s="1"/>
      <c r="B48" s="7" t="s">
        <v>77</v>
      </c>
      <c r="C48" s="75" t="s">
        <v>78</v>
      </c>
      <c r="D48" s="16" t="s">
        <v>46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6</v>
      </c>
      <c r="L48" s="11">
        <v>0</v>
      </c>
      <c r="M48" s="11">
        <v>4</v>
      </c>
      <c r="N48" s="11">
        <v>0</v>
      </c>
      <c r="O48" s="11">
        <v>1</v>
      </c>
      <c r="P48" s="11">
        <v>3</v>
      </c>
      <c r="Q48" s="11">
        <v>0</v>
      </c>
      <c r="R48" s="11"/>
      <c r="S48" s="11">
        <f t="shared" si="2"/>
        <v>14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18" customHeight="1" x14ac:dyDescent="0.2">
      <c r="A49" s="1"/>
      <c r="B49" s="7" t="s">
        <v>79</v>
      </c>
      <c r="C49" s="9" t="s">
        <v>80</v>
      </c>
      <c r="D49" s="8" t="s">
        <v>81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18" customHeight="1" x14ac:dyDescent="0.2">
      <c r="A50" s="1"/>
      <c r="B50" s="7" t="s">
        <v>82</v>
      </c>
      <c r="C50" s="75" t="s">
        <v>213</v>
      </c>
      <c r="D50" s="16" t="s">
        <v>46</v>
      </c>
      <c r="E50" s="11">
        <v>1</v>
      </c>
      <c r="F50" s="11">
        <v>1</v>
      </c>
      <c r="G50" s="11">
        <v>1</v>
      </c>
      <c r="H50" s="11">
        <v>1</v>
      </c>
      <c r="I50" s="11">
        <v>1</v>
      </c>
      <c r="J50" s="11">
        <v>1</v>
      </c>
      <c r="K50" s="11">
        <v>1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1</v>
      </c>
      <c r="R50" s="11"/>
      <c r="S50" s="11">
        <f t="shared" ref="S50:S76" si="6">SUM(B50:R50)</f>
        <v>8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18" customHeight="1" x14ac:dyDescent="0.2">
      <c r="A51" s="1"/>
      <c r="B51" s="7" t="s">
        <v>84</v>
      </c>
      <c r="C51" s="75" t="s">
        <v>214</v>
      </c>
      <c r="D51" s="16" t="s">
        <v>46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1</v>
      </c>
      <c r="R51" s="11"/>
      <c r="S51" s="11">
        <f t="shared" si="6"/>
        <v>1</v>
      </c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18" customHeight="1" x14ac:dyDescent="0.2">
      <c r="A52" s="1"/>
      <c r="B52" s="62" t="s">
        <v>87</v>
      </c>
      <c r="C52" s="67" t="s">
        <v>88</v>
      </c>
      <c r="D52" s="68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11">
        <f t="shared" si="6"/>
        <v>0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18" customHeight="1" x14ac:dyDescent="0.2">
      <c r="A53" s="1"/>
      <c r="B53" s="7" t="s">
        <v>89</v>
      </c>
      <c r="C53" s="12" t="s">
        <v>90</v>
      </c>
      <c r="D53" s="13" t="s">
        <v>26</v>
      </c>
      <c r="E53" s="11">
        <f t="shared" ref="E53:Q53" si="7">E56</f>
        <v>0</v>
      </c>
      <c r="F53" s="11">
        <f t="shared" si="7"/>
        <v>0</v>
      </c>
      <c r="G53" s="11">
        <f t="shared" si="7"/>
        <v>0</v>
      </c>
      <c r="H53" s="11">
        <f t="shared" si="7"/>
        <v>0</v>
      </c>
      <c r="I53" s="11">
        <f t="shared" si="7"/>
        <v>0</v>
      </c>
      <c r="J53" s="11">
        <f t="shared" si="7"/>
        <v>0</v>
      </c>
      <c r="K53" s="11">
        <f t="shared" si="7"/>
        <v>0</v>
      </c>
      <c r="L53" s="11">
        <f t="shared" si="7"/>
        <v>0</v>
      </c>
      <c r="M53" s="11">
        <f t="shared" si="7"/>
        <v>34.17</v>
      </c>
      <c r="N53" s="11">
        <f t="shared" si="7"/>
        <v>0</v>
      </c>
      <c r="O53" s="11">
        <f t="shared" si="7"/>
        <v>0</v>
      </c>
      <c r="P53" s="11">
        <f t="shared" si="7"/>
        <v>32.099999999999994</v>
      </c>
      <c r="Q53" s="11">
        <f t="shared" si="7"/>
        <v>0</v>
      </c>
      <c r="R53" s="11"/>
      <c r="S53" s="11">
        <f t="shared" si="6"/>
        <v>66.27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18" customHeight="1" x14ac:dyDescent="0.2">
      <c r="A54" s="1"/>
      <c r="B54" s="7" t="s">
        <v>91</v>
      </c>
      <c r="C54" s="12" t="s">
        <v>93</v>
      </c>
      <c r="D54" s="13" t="s">
        <v>26</v>
      </c>
      <c r="E54" s="73">
        <f t="shared" ref="E54:L54" si="8">3*E16</f>
        <v>42.900000000000006</v>
      </c>
      <c r="F54" s="73">
        <f t="shared" si="8"/>
        <v>42.45</v>
      </c>
      <c r="G54" s="73">
        <f t="shared" si="8"/>
        <v>42.660000000000004</v>
      </c>
      <c r="H54" s="73">
        <f t="shared" si="8"/>
        <v>42.660000000000004</v>
      </c>
      <c r="I54" s="73">
        <f t="shared" si="8"/>
        <v>43.8</v>
      </c>
      <c r="J54" s="73">
        <f t="shared" si="8"/>
        <v>41.97</v>
      </c>
      <c r="K54" s="73">
        <f t="shared" si="8"/>
        <v>43.17</v>
      </c>
      <c r="L54" s="73">
        <f t="shared" si="8"/>
        <v>39.57</v>
      </c>
      <c r="M54" s="73">
        <v>0</v>
      </c>
      <c r="N54" s="73">
        <f t="shared" ref="N54:O54" si="9">3*N16</f>
        <v>19.32</v>
      </c>
      <c r="O54" s="73">
        <f t="shared" si="9"/>
        <v>24.150000000000002</v>
      </c>
      <c r="P54" s="73">
        <v>0</v>
      </c>
      <c r="Q54" s="73">
        <f>3*Q16</f>
        <v>35.400000000000006</v>
      </c>
      <c r="R54" s="73"/>
      <c r="S54" s="11">
        <f t="shared" si="6"/>
        <v>418.05000000000007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ht="18" customHeight="1" x14ac:dyDescent="0.2">
      <c r="A55" s="1"/>
      <c r="B55" s="7" t="s">
        <v>94</v>
      </c>
      <c r="C55" s="12" t="s">
        <v>215</v>
      </c>
      <c r="D55" s="16" t="s">
        <v>26</v>
      </c>
      <c r="E55" s="11">
        <f t="shared" ref="E55:O55" si="10">E17</f>
        <v>12.67</v>
      </c>
      <c r="F55" s="11">
        <f t="shared" si="10"/>
        <v>12.38</v>
      </c>
      <c r="G55" s="11">
        <f t="shared" si="10"/>
        <v>12.52</v>
      </c>
      <c r="H55" s="11">
        <f t="shared" si="10"/>
        <v>12.52</v>
      </c>
      <c r="I55" s="11">
        <f t="shared" si="10"/>
        <v>13.25</v>
      </c>
      <c r="J55" s="11">
        <f t="shared" si="10"/>
        <v>12</v>
      </c>
      <c r="K55" s="11">
        <f t="shared" si="10"/>
        <v>12.86</v>
      </c>
      <c r="L55" s="11">
        <f t="shared" si="10"/>
        <v>10.42</v>
      </c>
      <c r="M55" s="11">
        <f t="shared" si="10"/>
        <v>7.01</v>
      </c>
      <c r="N55" s="11">
        <f t="shared" si="10"/>
        <v>2.48</v>
      </c>
      <c r="O55" s="11">
        <f t="shared" si="10"/>
        <v>4.05</v>
      </c>
      <c r="P55" s="11" t="s">
        <v>153</v>
      </c>
      <c r="Q55" s="11">
        <f>Q17</f>
        <v>7.8</v>
      </c>
      <c r="R55" s="11"/>
      <c r="S55" s="11">
        <f t="shared" si="6"/>
        <v>119.96000000000001</v>
      </c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24" customHeight="1" x14ac:dyDescent="0.2">
      <c r="A56" s="1"/>
      <c r="B56" s="7" t="s">
        <v>96</v>
      </c>
      <c r="C56" s="12" t="s">
        <v>216</v>
      </c>
      <c r="D56" s="16" t="s">
        <v>26</v>
      </c>
      <c r="E56" s="11">
        <v>0</v>
      </c>
      <c r="F56" s="11">
        <v>0</v>
      </c>
      <c r="G56" s="11"/>
      <c r="H56" s="11"/>
      <c r="I56" s="11"/>
      <c r="J56" s="11"/>
      <c r="K56" s="11"/>
      <c r="L56" s="11"/>
      <c r="M56" s="11">
        <f>3*M16</f>
        <v>34.17</v>
      </c>
      <c r="N56" s="11">
        <v>0</v>
      </c>
      <c r="O56" s="11"/>
      <c r="P56" s="11">
        <f>3*P16</f>
        <v>32.099999999999994</v>
      </c>
      <c r="Q56" s="11">
        <v>0</v>
      </c>
      <c r="R56" s="11"/>
      <c r="S56" s="11">
        <f t="shared" si="6"/>
        <v>66.27</v>
      </c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ht="18" customHeight="1" x14ac:dyDescent="0.2">
      <c r="A57" s="1"/>
      <c r="B57" s="62" t="s">
        <v>99</v>
      </c>
      <c r="C57" s="67" t="s">
        <v>100</v>
      </c>
      <c r="D57" s="68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11">
        <f t="shared" si="6"/>
        <v>0</v>
      </c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18" customHeight="1" x14ac:dyDescent="0.2">
      <c r="A58" s="1"/>
      <c r="B58" s="7" t="s">
        <v>101</v>
      </c>
      <c r="C58" s="12" t="s">
        <v>103</v>
      </c>
      <c r="D58" s="13" t="s">
        <v>26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11">
        <f>S59*0.3</f>
        <v>37.932000000000002</v>
      </c>
      <c r="S58" s="11">
        <f t="shared" si="6"/>
        <v>37.932000000000002</v>
      </c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ht="24" customHeight="1" x14ac:dyDescent="0.2">
      <c r="A59" s="1"/>
      <c r="B59" s="7" t="s">
        <v>104</v>
      </c>
      <c r="C59" s="12" t="s">
        <v>105</v>
      </c>
      <c r="D59" s="13" t="s">
        <v>26</v>
      </c>
      <c r="E59" s="11">
        <f t="shared" ref="E59:Q59" si="11">E17</f>
        <v>12.67</v>
      </c>
      <c r="F59" s="11">
        <f t="shared" si="11"/>
        <v>12.38</v>
      </c>
      <c r="G59" s="11">
        <f t="shared" si="11"/>
        <v>12.52</v>
      </c>
      <c r="H59" s="11">
        <f t="shared" si="11"/>
        <v>12.52</v>
      </c>
      <c r="I59" s="11">
        <f t="shared" si="11"/>
        <v>13.25</v>
      </c>
      <c r="J59" s="11">
        <f t="shared" si="11"/>
        <v>12</v>
      </c>
      <c r="K59" s="11">
        <f t="shared" si="11"/>
        <v>12.86</v>
      </c>
      <c r="L59" s="11">
        <f t="shared" si="11"/>
        <v>10.42</v>
      </c>
      <c r="M59" s="11">
        <f t="shared" si="11"/>
        <v>7.01</v>
      </c>
      <c r="N59" s="11">
        <f t="shared" si="11"/>
        <v>2.48</v>
      </c>
      <c r="O59" s="11">
        <f t="shared" si="11"/>
        <v>4.05</v>
      </c>
      <c r="P59" s="11">
        <f t="shared" si="11"/>
        <v>6.48</v>
      </c>
      <c r="Q59" s="11">
        <f t="shared" si="11"/>
        <v>7.8</v>
      </c>
      <c r="R59" s="11"/>
      <c r="S59" s="11">
        <f t="shared" si="6"/>
        <v>126.44000000000001</v>
      </c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ht="18" customHeight="1" x14ac:dyDescent="0.2">
      <c r="A60" s="1"/>
      <c r="B60" s="62" t="s">
        <v>106</v>
      </c>
      <c r="C60" s="67" t="s">
        <v>107</v>
      </c>
      <c r="D60" s="68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11">
        <f t="shared" si="6"/>
        <v>0</v>
      </c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18" customHeight="1" x14ac:dyDescent="0.2">
      <c r="A61" s="1"/>
      <c r="B61" s="7" t="s">
        <v>108</v>
      </c>
      <c r="C61" s="12" t="s">
        <v>109</v>
      </c>
      <c r="D61" s="13" t="s">
        <v>26</v>
      </c>
      <c r="E61" s="11">
        <f t="shared" ref="E61:Q61" si="12">E54</f>
        <v>42.900000000000006</v>
      </c>
      <c r="F61" s="11">
        <f t="shared" si="12"/>
        <v>42.45</v>
      </c>
      <c r="G61" s="11">
        <f t="shared" si="12"/>
        <v>42.660000000000004</v>
      </c>
      <c r="H61" s="11">
        <f t="shared" si="12"/>
        <v>42.660000000000004</v>
      </c>
      <c r="I61" s="11">
        <f t="shared" si="12"/>
        <v>43.8</v>
      </c>
      <c r="J61" s="11">
        <f t="shared" si="12"/>
        <v>41.97</v>
      </c>
      <c r="K61" s="11">
        <f t="shared" si="12"/>
        <v>43.17</v>
      </c>
      <c r="L61" s="11">
        <f t="shared" si="12"/>
        <v>39.57</v>
      </c>
      <c r="M61" s="11">
        <f t="shared" si="12"/>
        <v>0</v>
      </c>
      <c r="N61" s="11">
        <f t="shared" si="12"/>
        <v>19.32</v>
      </c>
      <c r="O61" s="11">
        <f t="shared" si="12"/>
        <v>24.150000000000002</v>
      </c>
      <c r="P61" s="11">
        <f t="shared" si="12"/>
        <v>0</v>
      </c>
      <c r="Q61" s="11">
        <f t="shared" si="12"/>
        <v>35.400000000000006</v>
      </c>
      <c r="R61" s="11"/>
      <c r="S61" s="11">
        <f t="shared" si="6"/>
        <v>418.05000000000007</v>
      </c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18" customHeight="1" x14ac:dyDescent="0.2">
      <c r="A62" s="1"/>
      <c r="B62" s="62" t="s">
        <v>112</v>
      </c>
      <c r="C62" s="67" t="s">
        <v>113</v>
      </c>
      <c r="D62" s="68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11">
        <f t="shared" si="6"/>
        <v>0</v>
      </c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ht="48" customHeight="1" x14ac:dyDescent="0.2">
      <c r="A63" s="1"/>
      <c r="B63" s="7" t="s">
        <v>114</v>
      </c>
      <c r="C63" s="12" t="s">
        <v>217</v>
      </c>
      <c r="D63" s="16" t="s">
        <v>26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f>2.1*0.8</f>
        <v>1.6800000000000002</v>
      </c>
      <c r="M63" s="11">
        <v>0</v>
      </c>
      <c r="N63" s="11">
        <f>2.1*0.8</f>
        <v>1.6800000000000002</v>
      </c>
      <c r="O63" s="11">
        <v>0</v>
      </c>
      <c r="P63" s="11">
        <v>0</v>
      </c>
      <c r="Q63" s="11">
        <v>0</v>
      </c>
      <c r="R63" s="11"/>
      <c r="S63" s="11">
        <f t="shared" si="6"/>
        <v>3.3600000000000003</v>
      </c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48" customHeight="1" x14ac:dyDescent="0.2">
      <c r="A64" s="1"/>
      <c r="B64" s="7" t="s">
        <v>117</v>
      </c>
      <c r="C64" s="12" t="s">
        <v>218</v>
      </c>
      <c r="D64" s="16" t="s">
        <v>26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f>2.1*0.9</f>
        <v>1.8900000000000001</v>
      </c>
      <c r="Q64" s="11">
        <v>0</v>
      </c>
      <c r="R64" s="11"/>
      <c r="S64" s="11">
        <f t="shared" si="6"/>
        <v>1.8900000000000001</v>
      </c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ht="36" customHeight="1" x14ac:dyDescent="0.2">
      <c r="A65" s="1"/>
      <c r="B65" s="7" t="s">
        <v>119</v>
      </c>
      <c r="C65" s="12" t="s">
        <v>219</v>
      </c>
      <c r="D65" s="16" t="s">
        <v>26</v>
      </c>
      <c r="E65" s="11">
        <f>1*2.1</f>
        <v>2.1</v>
      </c>
      <c r="F65" s="11">
        <f t="shared" ref="F65:K65" si="13">2.1*1</f>
        <v>2.1</v>
      </c>
      <c r="G65" s="11">
        <f t="shared" si="13"/>
        <v>2.1</v>
      </c>
      <c r="H65" s="11">
        <f t="shared" si="13"/>
        <v>2.1</v>
      </c>
      <c r="I65" s="11">
        <f t="shared" si="13"/>
        <v>2.1</v>
      </c>
      <c r="J65" s="11">
        <f t="shared" si="13"/>
        <v>2.1</v>
      </c>
      <c r="K65" s="11">
        <f t="shared" si="13"/>
        <v>2.1</v>
      </c>
      <c r="L65" s="11">
        <v>0</v>
      </c>
      <c r="M65" s="11">
        <v>0</v>
      </c>
      <c r="N65" s="11">
        <f>2.1*1</f>
        <v>2.1</v>
      </c>
      <c r="O65" s="11">
        <v>0</v>
      </c>
      <c r="P65" s="11">
        <v>0</v>
      </c>
      <c r="Q65" s="11">
        <v>0</v>
      </c>
      <c r="R65" s="11"/>
      <c r="S65" s="11">
        <f t="shared" si="6"/>
        <v>16.8</v>
      </c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18" customHeight="1" x14ac:dyDescent="0.2">
      <c r="A66" s="1"/>
      <c r="B66" s="62" t="s">
        <v>121</v>
      </c>
      <c r="C66" s="67" t="s">
        <v>122</v>
      </c>
      <c r="D66" s="68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11">
        <f t="shared" si="6"/>
        <v>0</v>
      </c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ht="18" customHeight="1" x14ac:dyDescent="0.2">
      <c r="A67" s="1"/>
      <c r="B67" s="7" t="s">
        <v>123</v>
      </c>
      <c r="C67" s="139" t="s">
        <v>124</v>
      </c>
      <c r="D67" s="16" t="s">
        <v>26</v>
      </c>
      <c r="E67" s="11">
        <v>1</v>
      </c>
      <c r="F67" s="11">
        <v>1</v>
      </c>
      <c r="G67" s="11">
        <v>1</v>
      </c>
      <c r="H67" s="11">
        <v>1</v>
      </c>
      <c r="I67" s="11">
        <v>1</v>
      </c>
      <c r="J67" s="11">
        <v>1</v>
      </c>
      <c r="K67" s="11">
        <v>1</v>
      </c>
      <c r="L67" s="11">
        <v>1</v>
      </c>
      <c r="M67" s="11">
        <v>1</v>
      </c>
      <c r="N67" s="11">
        <v>1</v>
      </c>
      <c r="O67" s="11">
        <v>0</v>
      </c>
      <c r="P67" s="11">
        <v>0</v>
      </c>
      <c r="Q67" s="11">
        <v>0</v>
      </c>
      <c r="R67" s="11"/>
      <c r="S67" s="11">
        <f t="shared" si="6"/>
        <v>10</v>
      </c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ht="18" customHeight="1" x14ac:dyDescent="0.2">
      <c r="A68" s="1"/>
      <c r="B68" s="7" t="s">
        <v>125</v>
      </c>
      <c r="C68" s="15" t="s">
        <v>126</v>
      </c>
      <c r="D68" s="16" t="s">
        <v>26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f>1*1.2*0.2</f>
        <v>0.24</v>
      </c>
      <c r="N68" s="11">
        <v>0</v>
      </c>
      <c r="O68" s="11">
        <f>1*1.2*0.2</f>
        <v>0.24</v>
      </c>
      <c r="P68" s="11">
        <f>1.2*0.2*1</f>
        <v>0.24</v>
      </c>
      <c r="Q68" s="11">
        <v>0</v>
      </c>
      <c r="R68" s="11"/>
      <c r="S68" s="11">
        <f t="shared" si="6"/>
        <v>0.72</v>
      </c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ht="24" customHeight="1" x14ac:dyDescent="0.2">
      <c r="A69" s="1"/>
      <c r="B69" s="7" t="s">
        <v>127</v>
      </c>
      <c r="C69" s="15" t="s">
        <v>128</v>
      </c>
      <c r="D69" s="16" t="s">
        <v>26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f>3.5*0.7</f>
        <v>2.4499999999999997</v>
      </c>
      <c r="Q69" s="11">
        <v>0</v>
      </c>
      <c r="R69" s="11"/>
      <c r="S69" s="11">
        <f t="shared" si="6"/>
        <v>2.4499999999999997</v>
      </c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ht="24" customHeight="1" x14ac:dyDescent="0.2">
      <c r="A70" s="1"/>
      <c r="B70" s="7" t="s">
        <v>129</v>
      </c>
      <c r="C70" s="12" t="s">
        <v>130</v>
      </c>
      <c r="D70" s="16" t="s">
        <v>26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f>3*1.7*0.4</f>
        <v>2.04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/>
      <c r="S70" s="11">
        <f t="shared" si="6"/>
        <v>2.04</v>
      </c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ht="24" customHeight="1" x14ac:dyDescent="0.2">
      <c r="A71" s="1"/>
      <c r="B71" s="7" t="s">
        <v>220</v>
      </c>
      <c r="C71" s="12" t="s">
        <v>132</v>
      </c>
      <c r="D71" s="16" t="s">
        <v>26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f>3.5*0.6</f>
        <v>2.1</v>
      </c>
      <c r="N71" s="11">
        <v>0</v>
      </c>
      <c r="O71" s="11">
        <v>0</v>
      </c>
      <c r="P71" s="11">
        <v>0</v>
      </c>
      <c r="Q71" s="11">
        <v>0</v>
      </c>
      <c r="R71" s="11"/>
      <c r="S71" s="11">
        <f t="shared" si="6"/>
        <v>2.1</v>
      </c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ht="24" customHeight="1" x14ac:dyDescent="0.2">
      <c r="A72" s="1"/>
      <c r="B72" s="7" t="s">
        <v>131</v>
      </c>
      <c r="C72" s="12" t="s">
        <v>135</v>
      </c>
      <c r="D72" s="16" t="s">
        <v>26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f>1.2*0.6</f>
        <v>0.72</v>
      </c>
      <c r="N72" s="11">
        <v>0</v>
      </c>
      <c r="O72" s="11">
        <v>0</v>
      </c>
      <c r="P72" s="11">
        <v>0</v>
      </c>
      <c r="Q72" s="11">
        <v>0</v>
      </c>
      <c r="R72" s="11"/>
      <c r="S72" s="11">
        <f t="shared" si="6"/>
        <v>0.72</v>
      </c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ht="24" customHeight="1" x14ac:dyDescent="0.2">
      <c r="A73" s="1"/>
      <c r="B73" s="7" t="s">
        <v>133</v>
      </c>
      <c r="C73" s="12" t="s">
        <v>137</v>
      </c>
      <c r="D73" s="16" t="s">
        <v>46</v>
      </c>
      <c r="E73" s="11">
        <v>1</v>
      </c>
      <c r="F73" s="11">
        <v>1</v>
      </c>
      <c r="G73" s="11">
        <v>1</v>
      </c>
      <c r="H73" s="11">
        <v>1</v>
      </c>
      <c r="I73" s="11">
        <v>1</v>
      </c>
      <c r="J73" s="11">
        <v>1</v>
      </c>
      <c r="K73" s="11">
        <v>1</v>
      </c>
      <c r="L73" s="11">
        <v>0</v>
      </c>
      <c r="M73" s="11">
        <v>1</v>
      </c>
      <c r="N73" s="11">
        <v>0</v>
      </c>
      <c r="O73" s="11">
        <v>0</v>
      </c>
      <c r="P73" s="11">
        <v>0</v>
      </c>
      <c r="Q73" s="11">
        <v>0</v>
      </c>
      <c r="R73" s="11"/>
      <c r="S73" s="11">
        <f t="shared" si="6"/>
        <v>8</v>
      </c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ht="24" customHeight="1" x14ac:dyDescent="0.2">
      <c r="A74" s="1"/>
      <c r="B74" s="7" t="s">
        <v>136</v>
      </c>
      <c r="C74" s="12" t="s">
        <v>139</v>
      </c>
      <c r="D74" s="16" t="s">
        <v>26</v>
      </c>
      <c r="E74" s="11">
        <f>3.25*0.6</f>
        <v>1.95</v>
      </c>
      <c r="F74" s="11">
        <f>0.6*3.17</f>
        <v>1.9019999999999999</v>
      </c>
      <c r="G74" s="11">
        <f>0.6*3.22</f>
        <v>1.9319999999999999</v>
      </c>
      <c r="H74" s="11">
        <f>0.6*3.21</f>
        <v>1.9259999999999999</v>
      </c>
      <c r="I74" s="11">
        <f>0.6*3.4</f>
        <v>2.04</v>
      </c>
      <c r="J74" s="11">
        <f>0.6*3.02</f>
        <v>1.8119999999999998</v>
      </c>
      <c r="K74" s="11">
        <f>0.6*3</f>
        <v>1.7999999999999998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/>
      <c r="S74" s="11">
        <f t="shared" si="6"/>
        <v>13.361999999999998</v>
      </c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ht="18" customHeight="1" x14ac:dyDescent="0.2">
      <c r="A75" s="1"/>
      <c r="B75" s="7" t="s">
        <v>138</v>
      </c>
      <c r="C75" s="17" t="s">
        <v>141</v>
      </c>
      <c r="D75" s="8" t="s">
        <v>26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>
        <v>144.07</v>
      </c>
      <c r="S75" s="11">
        <f t="shared" si="6"/>
        <v>144.07</v>
      </c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ht="24" customHeight="1" x14ac:dyDescent="0.2">
      <c r="A76" s="1"/>
      <c r="B76" s="7" t="s">
        <v>140</v>
      </c>
      <c r="C76" s="18" t="s">
        <v>142</v>
      </c>
      <c r="D76" s="16" t="s">
        <v>46</v>
      </c>
      <c r="E76" s="11">
        <v>1</v>
      </c>
      <c r="F76" s="11">
        <v>1</v>
      </c>
      <c r="G76" s="11">
        <v>1</v>
      </c>
      <c r="H76" s="11">
        <v>1</v>
      </c>
      <c r="I76" s="11">
        <v>1</v>
      </c>
      <c r="J76" s="11">
        <v>1</v>
      </c>
      <c r="K76" s="11">
        <v>1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/>
      <c r="S76" s="11">
        <f t="shared" si="6"/>
        <v>7</v>
      </c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ht="18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ht="14.25" customHeight="1" x14ac:dyDescent="0.2">
      <c r="A79" s="1"/>
      <c r="B79" s="252" t="s">
        <v>334</v>
      </c>
      <c r="C79" s="246"/>
      <c r="D79" s="246"/>
      <c r="E79" s="246"/>
      <c r="F79" s="1"/>
      <c r="G79" s="256" t="s">
        <v>148</v>
      </c>
      <c r="H79" s="246"/>
      <c r="I79" s="246"/>
      <c r="J79" s="246"/>
      <c r="K79" s="246"/>
      <c r="L79" s="3"/>
      <c r="M79" s="3"/>
      <c r="N79" s="3"/>
      <c r="O79" s="3"/>
      <c r="P79" s="3"/>
      <c r="Q79" s="3"/>
      <c r="R79" s="3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ht="14.25" customHeight="1" x14ac:dyDescent="0.2">
      <c r="A80" s="1"/>
      <c r="B80" s="1"/>
      <c r="C80" s="3"/>
      <c r="D80" s="1"/>
      <c r="E80" s="1"/>
      <c r="F80" s="1"/>
      <c r="G80" s="256" t="s">
        <v>150</v>
      </c>
      <c r="H80" s="246"/>
      <c r="I80" s="246"/>
      <c r="J80" s="246"/>
      <c r="K80" s="246"/>
      <c r="L80" s="3"/>
      <c r="M80" s="3"/>
      <c r="N80" s="3"/>
      <c r="O80" s="3"/>
      <c r="P80" s="3"/>
      <c r="Q80" s="3"/>
      <c r="R80" s="3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39" ht="14.25" customHeight="1" x14ac:dyDescent="0.2">
      <c r="A81" s="1"/>
      <c r="B81" s="1"/>
      <c r="C81" s="3"/>
      <c r="D81" s="1"/>
      <c r="E81" s="1"/>
      <c r="F81" s="1"/>
      <c r="G81" s="256" t="s">
        <v>152</v>
      </c>
      <c r="H81" s="246"/>
      <c r="I81" s="246"/>
      <c r="J81" s="246"/>
      <c r="K81" s="246"/>
      <c r="L81" s="3"/>
      <c r="M81" s="3"/>
      <c r="N81" s="3"/>
      <c r="O81" s="3"/>
      <c r="P81" s="3"/>
      <c r="Q81" s="3"/>
      <c r="R81" s="3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1:3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3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3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39" ht="12.75" customHeight="1" x14ac:dyDescent="0.2">
      <c r="A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3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3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1:3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1:3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1:3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:3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1:3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1:3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1:3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1:3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1:3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1:3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3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</sheetData>
  <mergeCells count="13">
    <mergeCell ref="G80:K80"/>
    <mergeCell ref="G81:K81"/>
    <mergeCell ref="B12:S12"/>
    <mergeCell ref="B7:S7"/>
    <mergeCell ref="B8:S8"/>
    <mergeCell ref="B9:S9"/>
    <mergeCell ref="B10:S10"/>
    <mergeCell ref="B79:E79"/>
    <mergeCell ref="B2:S2"/>
    <mergeCell ref="B3:S3"/>
    <mergeCell ref="B4:S4"/>
    <mergeCell ref="B5:S5"/>
    <mergeCell ref="G79:K79"/>
  </mergeCells>
  <phoneticPr fontId="35" type="noConversion"/>
  <printOptions horizontalCentered="1"/>
  <pageMargins left="0.19685039370078741" right="0.19685039370078741" top="0.39370078740157483" bottom="0.39370078740157483" header="0" footer="0.19685039370078741"/>
  <pageSetup scale="49" orientation="landscape" r:id="rId1"/>
  <headerFooter>
    <oddFooter>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0"/>
  <sheetViews>
    <sheetView showGridLines="0" zoomScaleNormal="100" workbookViewId="0"/>
  </sheetViews>
  <sheetFormatPr defaultColWidth="14.42578125" defaultRowHeight="15" customHeight="1" x14ac:dyDescent="0.2"/>
  <cols>
    <col min="1" max="1" width="4.7109375" customWidth="1"/>
    <col min="2" max="2" width="12.7109375" customWidth="1"/>
    <col min="3" max="3" width="60.7109375" customWidth="1"/>
    <col min="4" max="5" width="30.7109375" customWidth="1"/>
    <col min="6" max="6" width="9.140625" customWidth="1"/>
    <col min="7" max="11" width="8" customWidth="1"/>
  </cols>
  <sheetData>
    <row r="1" spans="1:11" ht="18" customHeight="1" x14ac:dyDescent="0.2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8" customHeight="1" x14ac:dyDescent="0.2">
      <c r="A2" s="76"/>
      <c r="B2" s="258" t="s">
        <v>0</v>
      </c>
      <c r="C2" s="243"/>
      <c r="D2" s="243"/>
      <c r="E2" s="244"/>
      <c r="F2" s="76"/>
      <c r="G2" s="76"/>
      <c r="H2" s="76"/>
      <c r="I2" s="76"/>
      <c r="J2" s="76"/>
      <c r="K2" s="76"/>
    </row>
    <row r="3" spans="1:11" ht="18" customHeight="1" x14ac:dyDescent="0.2">
      <c r="A3" s="76"/>
      <c r="B3" s="259" t="s">
        <v>1</v>
      </c>
      <c r="C3" s="246"/>
      <c r="D3" s="246"/>
      <c r="E3" s="247"/>
      <c r="F3" s="76"/>
      <c r="G3" s="76"/>
      <c r="H3" s="76"/>
      <c r="I3" s="76"/>
      <c r="J3" s="76"/>
      <c r="K3" s="76"/>
    </row>
    <row r="4" spans="1:11" ht="18" customHeight="1" x14ac:dyDescent="0.2">
      <c r="A4" s="76"/>
      <c r="B4" s="259" t="s">
        <v>2</v>
      </c>
      <c r="C4" s="246"/>
      <c r="D4" s="246"/>
      <c r="E4" s="247"/>
      <c r="F4" s="76"/>
      <c r="G4" s="76"/>
      <c r="H4" s="76"/>
      <c r="I4" s="76"/>
      <c r="J4" s="76"/>
      <c r="K4" s="76"/>
    </row>
    <row r="5" spans="1:11" ht="18" customHeight="1" x14ac:dyDescent="0.2">
      <c r="A5" s="76"/>
      <c r="B5" s="248" t="s">
        <v>3</v>
      </c>
      <c r="C5" s="249"/>
      <c r="D5" s="249"/>
      <c r="E5" s="250"/>
      <c r="F5" s="76"/>
      <c r="G5" s="76"/>
      <c r="H5" s="76"/>
      <c r="I5" s="76"/>
      <c r="J5" s="76"/>
      <c r="K5" s="76"/>
    </row>
    <row r="6" spans="1:11" ht="4.5" customHeight="1" x14ac:dyDescent="0.2">
      <c r="A6" s="76"/>
      <c r="B6" s="51"/>
      <c r="C6" s="51"/>
      <c r="D6" s="51"/>
      <c r="E6" s="51"/>
      <c r="F6" s="76"/>
      <c r="G6" s="76"/>
      <c r="H6" s="76"/>
      <c r="I6" s="76"/>
      <c r="J6" s="76"/>
      <c r="K6" s="76"/>
    </row>
    <row r="7" spans="1:11" ht="30" customHeight="1" x14ac:dyDescent="0.2">
      <c r="A7" s="76"/>
      <c r="B7" s="239" t="s">
        <v>330</v>
      </c>
      <c r="C7" s="260"/>
      <c r="D7" s="260"/>
      <c r="E7" s="261"/>
      <c r="F7" s="76"/>
      <c r="G7" s="76"/>
      <c r="H7" s="76"/>
      <c r="I7" s="76"/>
      <c r="J7" s="76"/>
      <c r="K7" s="76"/>
    </row>
    <row r="8" spans="1:11" ht="18" customHeight="1" x14ac:dyDescent="0.2">
      <c r="A8" s="76"/>
      <c r="B8" s="262" t="s">
        <v>331</v>
      </c>
      <c r="C8" s="240"/>
      <c r="D8" s="240"/>
      <c r="E8" s="235"/>
      <c r="F8" s="76"/>
      <c r="G8" s="76"/>
      <c r="H8" s="76"/>
      <c r="I8" s="76"/>
      <c r="J8" s="76"/>
      <c r="K8" s="76"/>
    </row>
    <row r="9" spans="1:11" ht="18" customHeight="1" x14ac:dyDescent="0.2">
      <c r="A9" s="76"/>
      <c r="B9" s="262" t="s">
        <v>221</v>
      </c>
      <c r="C9" s="235"/>
      <c r="D9" s="262"/>
      <c r="E9" s="235"/>
      <c r="F9" s="76"/>
      <c r="G9" s="76"/>
      <c r="H9" s="76"/>
      <c r="I9" s="76"/>
      <c r="J9" s="76"/>
      <c r="K9" s="76"/>
    </row>
    <row r="10" spans="1:11" ht="4.5" customHeight="1" x14ac:dyDescent="0.2">
      <c r="A10" s="76"/>
      <c r="B10" s="51"/>
      <c r="C10" s="77"/>
      <c r="D10" s="51"/>
      <c r="E10" s="51"/>
      <c r="F10" s="76"/>
      <c r="G10" s="76"/>
      <c r="H10" s="76"/>
      <c r="I10" s="76"/>
      <c r="J10" s="76"/>
      <c r="K10" s="76"/>
    </row>
    <row r="11" spans="1:11" ht="18" customHeight="1" x14ac:dyDescent="0.2">
      <c r="A11" s="76"/>
      <c r="B11" s="268" t="s">
        <v>222</v>
      </c>
      <c r="C11" s="240"/>
      <c r="D11" s="240"/>
      <c r="E11" s="235"/>
      <c r="F11" s="76"/>
      <c r="G11" s="76"/>
      <c r="H11" s="76"/>
      <c r="I11" s="76"/>
      <c r="J11" s="76"/>
      <c r="K11" s="76"/>
    </row>
    <row r="12" spans="1:11" ht="4.5" customHeight="1" x14ac:dyDescent="0.2">
      <c r="A12" s="76"/>
      <c r="B12" s="77"/>
      <c r="C12" s="77"/>
      <c r="D12" s="77"/>
      <c r="E12" s="77"/>
      <c r="F12" s="76"/>
      <c r="G12" s="76"/>
      <c r="H12" s="76"/>
      <c r="I12" s="76"/>
      <c r="J12" s="76"/>
      <c r="K12" s="76"/>
    </row>
    <row r="13" spans="1:11" ht="18" customHeight="1" x14ac:dyDescent="0.2">
      <c r="A13" s="76"/>
      <c r="B13" s="269" t="s">
        <v>337</v>
      </c>
      <c r="C13" s="264"/>
      <c r="D13" s="264"/>
      <c r="E13" s="265"/>
      <c r="F13" s="76"/>
      <c r="G13" s="76"/>
      <c r="H13" s="76"/>
      <c r="I13" s="76"/>
      <c r="J13" s="76"/>
      <c r="K13" s="76"/>
    </row>
    <row r="14" spans="1:11" ht="4.5" customHeight="1" x14ac:dyDescent="0.2">
      <c r="A14" s="76"/>
      <c r="B14" s="78"/>
      <c r="C14" s="78"/>
      <c r="D14" s="78"/>
      <c r="E14" s="78"/>
      <c r="F14" s="76"/>
      <c r="G14" s="76"/>
      <c r="H14" s="76"/>
      <c r="I14" s="76"/>
      <c r="J14" s="76"/>
      <c r="K14" s="76"/>
    </row>
    <row r="15" spans="1:11" ht="18" customHeight="1" x14ac:dyDescent="0.2">
      <c r="A15" s="76"/>
      <c r="B15" s="79" t="s">
        <v>223</v>
      </c>
      <c r="C15" s="79" t="s">
        <v>224</v>
      </c>
      <c r="D15" s="79" t="s">
        <v>225</v>
      </c>
      <c r="E15" s="79" t="s">
        <v>226</v>
      </c>
      <c r="F15" s="76"/>
      <c r="G15" s="76"/>
      <c r="H15" s="76"/>
      <c r="I15" s="76"/>
      <c r="J15" s="76"/>
      <c r="K15" s="76"/>
    </row>
    <row r="16" spans="1:11" ht="4.5" customHeight="1" x14ac:dyDescent="0.2">
      <c r="A16" s="76"/>
      <c r="B16" s="80"/>
      <c r="C16" s="80"/>
      <c r="D16" s="80"/>
      <c r="E16" s="80"/>
      <c r="F16" s="76"/>
      <c r="G16" s="76"/>
      <c r="H16" s="76"/>
      <c r="I16" s="76"/>
      <c r="J16" s="76"/>
      <c r="K16" s="76"/>
    </row>
    <row r="17" spans="1:11" ht="18" customHeight="1" x14ac:dyDescent="0.2">
      <c r="A17" s="76"/>
      <c r="B17" s="263" t="s">
        <v>227</v>
      </c>
      <c r="C17" s="264"/>
      <c r="D17" s="264"/>
      <c r="E17" s="265"/>
      <c r="F17" s="76"/>
      <c r="G17" s="76"/>
      <c r="H17" s="76"/>
      <c r="I17" s="76"/>
      <c r="J17" s="76"/>
      <c r="K17" s="76"/>
    </row>
    <row r="18" spans="1:11" ht="18" customHeight="1" x14ac:dyDescent="0.2">
      <c r="A18" s="76"/>
      <c r="B18" s="194" t="s">
        <v>228</v>
      </c>
      <c r="C18" s="195" t="s">
        <v>229</v>
      </c>
      <c r="D18" s="196">
        <v>0</v>
      </c>
      <c r="E18" s="196">
        <v>0</v>
      </c>
      <c r="F18" s="76"/>
      <c r="G18" s="76"/>
      <c r="H18" s="76"/>
      <c r="I18" s="76"/>
      <c r="J18" s="76"/>
      <c r="K18" s="76"/>
    </row>
    <row r="19" spans="1:11" ht="18" customHeight="1" x14ac:dyDescent="0.2">
      <c r="A19" s="76"/>
      <c r="B19" s="194" t="s">
        <v>230</v>
      </c>
      <c r="C19" s="195" t="s">
        <v>231</v>
      </c>
      <c r="D19" s="196">
        <v>1.5</v>
      </c>
      <c r="E19" s="196">
        <v>1.5</v>
      </c>
      <c r="F19" s="76"/>
      <c r="G19" s="76"/>
      <c r="H19" s="76"/>
      <c r="I19" s="76"/>
      <c r="J19" s="76"/>
      <c r="K19" s="76"/>
    </row>
    <row r="20" spans="1:11" ht="18" customHeight="1" x14ac:dyDescent="0.2">
      <c r="A20" s="76"/>
      <c r="B20" s="194" t="s">
        <v>232</v>
      </c>
      <c r="C20" s="195" t="s">
        <v>233</v>
      </c>
      <c r="D20" s="196">
        <v>1</v>
      </c>
      <c r="E20" s="196">
        <v>1</v>
      </c>
      <c r="F20" s="76"/>
      <c r="G20" s="76"/>
      <c r="H20" s="76"/>
      <c r="I20" s="76"/>
      <c r="J20" s="76"/>
      <c r="K20" s="76"/>
    </row>
    <row r="21" spans="1:11" ht="18" customHeight="1" x14ac:dyDescent="0.2">
      <c r="A21" s="76"/>
      <c r="B21" s="194" t="s">
        <v>234</v>
      </c>
      <c r="C21" s="195" t="s">
        <v>235</v>
      </c>
      <c r="D21" s="196">
        <v>0.2</v>
      </c>
      <c r="E21" s="196">
        <v>0.2</v>
      </c>
      <c r="F21" s="76"/>
      <c r="G21" s="76"/>
      <c r="H21" s="76"/>
      <c r="I21" s="76"/>
      <c r="J21" s="76"/>
      <c r="K21" s="76"/>
    </row>
    <row r="22" spans="1:11" ht="18" customHeight="1" x14ac:dyDescent="0.2">
      <c r="A22" s="76"/>
      <c r="B22" s="194" t="s">
        <v>236</v>
      </c>
      <c r="C22" s="195" t="s">
        <v>237</v>
      </c>
      <c r="D22" s="196">
        <v>0.6</v>
      </c>
      <c r="E22" s="196">
        <v>0.6</v>
      </c>
      <c r="F22" s="76"/>
      <c r="G22" s="76"/>
      <c r="H22" s="76"/>
      <c r="I22" s="76"/>
      <c r="J22" s="76"/>
      <c r="K22" s="76"/>
    </row>
    <row r="23" spans="1:11" ht="18" customHeight="1" x14ac:dyDescent="0.2">
      <c r="A23" s="76"/>
      <c r="B23" s="194" t="s">
        <v>238</v>
      </c>
      <c r="C23" s="195" t="s">
        <v>239</v>
      </c>
      <c r="D23" s="196">
        <v>2.5</v>
      </c>
      <c r="E23" s="196">
        <v>2.5</v>
      </c>
      <c r="F23" s="76"/>
      <c r="G23" s="76"/>
      <c r="H23" s="76"/>
      <c r="I23" s="76"/>
      <c r="J23" s="76"/>
      <c r="K23" s="76"/>
    </row>
    <row r="24" spans="1:11" ht="18" customHeight="1" x14ac:dyDescent="0.2">
      <c r="A24" s="76"/>
      <c r="B24" s="194" t="s">
        <v>240</v>
      </c>
      <c r="C24" s="195" t="s">
        <v>241</v>
      </c>
      <c r="D24" s="196">
        <v>3</v>
      </c>
      <c r="E24" s="196">
        <v>3</v>
      </c>
      <c r="F24" s="76"/>
      <c r="G24" s="76"/>
      <c r="H24" s="76"/>
      <c r="I24" s="76"/>
      <c r="J24" s="76"/>
      <c r="K24" s="76"/>
    </row>
    <row r="25" spans="1:11" ht="18" customHeight="1" x14ac:dyDescent="0.2">
      <c r="A25" s="76"/>
      <c r="B25" s="194" t="s">
        <v>242</v>
      </c>
      <c r="C25" s="195" t="s">
        <v>243</v>
      </c>
      <c r="D25" s="196">
        <v>8</v>
      </c>
      <c r="E25" s="196">
        <v>8</v>
      </c>
      <c r="F25" s="76"/>
      <c r="G25" s="76"/>
      <c r="H25" s="76"/>
      <c r="I25" s="76"/>
      <c r="J25" s="76"/>
      <c r="K25" s="76"/>
    </row>
    <row r="26" spans="1:11" ht="18" customHeight="1" x14ac:dyDescent="0.2">
      <c r="A26" s="76"/>
      <c r="B26" s="194" t="s">
        <v>244</v>
      </c>
      <c r="C26" s="195" t="s">
        <v>245</v>
      </c>
      <c r="D26" s="196">
        <v>0</v>
      </c>
      <c r="E26" s="196">
        <v>0</v>
      </c>
      <c r="F26" s="76"/>
      <c r="G26" s="76"/>
      <c r="H26" s="76"/>
      <c r="I26" s="76"/>
      <c r="J26" s="76"/>
      <c r="K26" s="76"/>
    </row>
    <row r="27" spans="1:11" ht="18" customHeight="1" x14ac:dyDescent="0.2">
      <c r="A27" s="76"/>
      <c r="B27" s="81" t="s">
        <v>246</v>
      </c>
      <c r="C27" s="81" t="s">
        <v>165</v>
      </c>
      <c r="D27" s="82">
        <f t="shared" ref="D27:E27" si="0">SUM(D18:D26)</f>
        <v>16.8</v>
      </c>
      <c r="E27" s="82">
        <f t="shared" si="0"/>
        <v>16.8</v>
      </c>
      <c r="F27" s="76"/>
      <c r="G27" s="76"/>
      <c r="H27" s="76"/>
      <c r="I27" s="76"/>
      <c r="J27" s="76"/>
      <c r="K27" s="76"/>
    </row>
    <row r="28" spans="1:11" ht="18" customHeight="1" x14ac:dyDescent="0.2">
      <c r="A28" s="76"/>
      <c r="B28" s="263" t="s">
        <v>247</v>
      </c>
      <c r="C28" s="264"/>
      <c r="D28" s="264"/>
      <c r="E28" s="265"/>
      <c r="F28" s="76"/>
      <c r="G28" s="76"/>
      <c r="H28" s="76"/>
      <c r="I28" s="76"/>
      <c r="J28" s="76"/>
      <c r="K28" s="76"/>
    </row>
    <row r="29" spans="1:11" ht="18" customHeight="1" x14ac:dyDescent="0.2">
      <c r="A29" s="76"/>
      <c r="B29" s="194" t="s">
        <v>248</v>
      </c>
      <c r="C29" s="195" t="s">
        <v>249</v>
      </c>
      <c r="D29" s="196">
        <v>17.809999999999999</v>
      </c>
      <c r="E29" s="196" t="s">
        <v>250</v>
      </c>
      <c r="F29" s="76"/>
      <c r="G29" s="76"/>
      <c r="H29" s="76"/>
      <c r="I29" s="76"/>
      <c r="J29" s="76"/>
      <c r="K29" s="76"/>
    </row>
    <row r="30" spans="1:11" ht="18" customHeight="1" x14ac:dyDescent="0.2">
      <c r="A30" s="76"/>
      <c r="B30" s="194" t="s">
        <v>251</v>
      </c>
      <c r="C30" s="195" t="s">
        <v>252</v>
      </c>
      <c r="D30" s="196">
        <v>3.95</v>
      </c>
      <c r="E30" s="196" t="s">
        <v>250</v>
      </c>
      <c r="F30" s="76"/>
      <c r="G30" s="76"/>
      <c r="H30" s="76"/>
      <c r="I30" s="76"/>
      <c r="J30" s="76"/>
      <c r="K30" s="76"/>
    </row>
    <row r="31" spans="1:11" ht="18" customHeight="1" x14ac:dyDescent="0.2">
      <c r="A31" s="76"/>
      <c r="B31" s="194" t="s">
        <v>253</v>
      </c>
      <c r="C31" s="195" t="s">
        <v>254</v>
      </c>
      <c r="D31" s="196">
        <v>0.85</v>
      </c>
      <c r="E31" s="196">
        <v>0.66</v>
      </c>
      <c r="F31" s="76"/>
      <c r="G31" s="76"/>
      <c r="H31" s="76"/>
      <c r="I31" s="76"/>
      <c r="J31" s="76"/>
      <c r="K31" s="76"/>
    </row>
    <row r="32" spans="1:11" ht="18" customHeight="1" x14ac:dyDescent="0.2">
      <c r="A32" s="76"/>
      <c r="B32" s="194" t="s">
        <v>255</v>
      </c>
      <c r="C32" s="195" t="s">
        <v>256</v>
      </c>
      <c r="D32" s="196">
        <v>10.77</v>
      </c>
      <c r="E32" s="196">
        <v>8.33</v>
      </c>
      <c r="F32" s="76"/>
      <c r="G32" s="76"/>
      <c r="H32" s="76"/>
      <c r="I32" s="76"/>
      <c r="J32" s="76"/>
      <c r="K32" s="76"/>
    </row>
    <row r="33" spans="1:11" ht="18" customHeight="1" x14ac:dyDescent="0.2">
      <c r="A33" s="76"/>
      <c r="B33" s="194" t="s">
        <v>257</v>
      </c>
      <c r="C33" s="195" t="s">
        <v>258</v>
      </c>
      <c r="D33" s="196">
        <v>7.0000000000000007E-2</v>
      </c>
      <c r="E33" s="196">
        <v>0.06</v>
      </c>
      <c r="F33" s="76"/>
      <c r="G33" s="76"/>
      <c r="H33" s="76"/>
      <c r="I33" s="76"/>
      <c r="J33" s="76"/>
      <c r="K33" s="76"/>
    </row>
    <row r="34" spans="1:11" ht="18" customHeight="1" x14ac:dyDescent="0.2">
      <c r="A34" s="76"/>
      <c r="B34" s="194" t="s">
        <v>259</v>
      </c>
      <c r="C34" s="195" t="s">
        <v>260</v>
      </c>
      <c r="D34" s="196">
        <v>0.72</v>
      </c>
      <c r="E34" s="196">
        <v>0.56000000000000005</v>
      </c>
      <c r="F34" s="76"/>
      <c r="G34" s="76"/>
      <c r="H34" s="76"/>
      <c r="I34" s="76"/>
      <c r="J34" s="76"/>
      <c r="K34" s="76"/>
    </row>
    <row r="35" spans="1:11" ht="18" customHeight="1" x14ac:dyDescent="0.2">
      <c r="A35" s="76"/>
      <c r="B35" s="194" t="s">
        <v>261</v>
      </c>
      <c r="C35" s="195" t="s">
        <v>262</v>
      </c>
      <c r="D35" s="196">
        <v>1.1599999999999999</v>
      </c>
      <c r="E35" s="196" t="s">
        <v>250</v>
      </c>
      <c r="F35" s="76"/>
      <c r="G35" s="76"/>
      <c r="H35" s="76"/>
      <c r="I35" s="76"/>
      <c r="J35" s="76"/>
      <c r="K35" s="76"/>
    </row>
    <row r="36" spans="1:11" ht="18" customHeight="1" x14ac:dyDescent="0.2">
      <c r="A36" s="76"/>
      <c r="B36" s="194" t="s">
        <v>263</v>
      </c>
      <c r="C36" s="195" t="s">
        <v>264</v>
      </c>
      <c r="D36" s="196">
        <v>0.1</v>
      </c>
      <c r="E36" s="196">
        <v>0.08</v>
      </c>
      <c r="F36" s="76"/>
      <c r="G36" s="76"/>
      <c r="H36" s="76"/>
      <c r="I36" s="76"/>
      <c r="J36" s="76"/>
      <c r="K36" s="76"/>
    </row>
    <row r="37" spans="1:11" ht="18" customHeight="1" x14ac:dyDescent="0.2">
      <c r="A37" s="76"/>
      <c r="B37" s="194" t="s">
        <v>265</v>
      </c>
      <c r="C37" s="195" t="s">
        <v>266</v>
      </c>
      <c r="D37" s="196">
        <v>8.57</v>
      </c>
      <c r="E37" s="196">
        <v>6.63</v>
      </c>
      <c r="F37" s="76"/>
      <c r="G37" s="76"/>
      <c r="H37" s="76"/>
      <c r="I37" s="76"/>
      <c r="J37" s="76"/>
      <c r="K37" s="76"/>
    </row>
    <row r="38" spans="1:11" ht="18" customHeight="1" x14ac:dyDescent="0.2">
      <c r="A38" s="76"/>
      <c r="B38" s="194" t="s">
        <v>267</v>
      </c>
      <c r="C38" s="195" t="s">
        <v>268</v>
      </c>
      <c r="D38" s="196">
        <v>0.03</v>
      </c>
      <c r="E38" s="196">
        <v>0.02</v>
      </c>
      <c r="F38" s="76"/>
      <c r="G38" s="76"/>
      <c r="H38" s="76"/>
      <c r="I38" s="76"/>
      <c r="J38" s="76"/>
      <c r="K38" s="76"/>
    </row>
    <row r="39" spans="1:11" ht="18" customHeight="1" x14ac:dyDescent="0.2">
      <c r="A39" s="76"/>
      <c r="B39" s="81" t="s">
        <v>269</v>
      </c>
      <c r="C39" s="81" t="s">
        <v>165</v>
      </c>
      <c r="D39" s="82">
        <f>SUM(D29:D38)</f>
        <v>44.029999999999994</v>
      </c>
      <c r="E39" s="82">
        <f>SUM(E30:E38)</f>
        <v>16.34</v>
      </c>
      <c r="F39" s="76"/>
      <c r="G39" s="76"/>
      <c r="H39" s="76"/>
      <c r="I39" s="76"/>
      <c r="J39" s="76"/>
      <c r="K39" s="76"/>
    </row>
    <row r="40" spans="1:11" ht="18" customHeight="1" x14ac:dyDescent="0.2">
      <c r="A40" s="76"/>
      <c r="B40" s="263" t="s">
        <v>270</v>
      </c>
      <c r="C40" s="264"/>
      <c r="D40" s="264"/>
      <c r="E40" s="265"/>
      <c r="F40" s="76"/>
      <c r="G40" s="76"/>
      <c r="H40" s="76"/>
      <c r="I40" s="76"/>
      <c r="J40" s="76"/>
      <c r="K40" s="76"/>
    </row>
    <row r="41" spans="1:11" ht="18" customHeight="1" x14ac:dyDescent="0.2">
      <c r="A41" s="76"/>
      <c r="B41" s="194" t="s">
        <v>271</v>
      </c>
      <c r="C41" s="195" t="s">
        <v>272</v>
      </c>
      <c r="D41" s="196">
        <v>5.21</v>
      </c>
      <c r="E41" s="196">
        <v>4.03</v>
      </c>
      <c r="F41" s="76"/>
      <c r="G41" s="76"/>
      <c r="H41" s="76"/>
      <c r="I41" s="76"/>
      <c r="J41" s="76"/>
      <c r="K41" s="76"/>
    </row>
    <row r="42" spans="1:11" ht="18" customHeight="1" x14ac:dyDescent="0.2">
      <c r="A42" s="76"/>
      <c r="B42" s="194" t="s">
        <v>273</v>
      </c>
      <c r="C42" s="195" t="s">
        <v>274</v>
      </c>
      <c r="D42" s="196">
        <v>0.12</v>
      </c>
      <c r="E42" s="196">
        <v>0.09</v>
      </c>
      <c r="F42" s="76"/>
      <c r="G42" s="76"/>
      <c r="H42" s="76"/>
      <c r="I42" s="76"/>
      <c r="J42" s="76"/>
      <c r="K42" s="76"/>
    </row>
    <row r="43" spans="1:11" ht="18" customHeight="1" x14ac:dyDescent="0.2">
      <c r="A43" s="76"/>
      <c r="B43" s="194" t="s">
        <v>275</v>
      </c>
      <c r="C43" s="195" t="s">
        <v>276</v>
      </c>
      <c r="D43" s="196">
        <v>4.79</v>
      </c>
      <c r="E43" s="196">
        <v>3.71</v>
      </c>
      <c r="F43" s="76"/>
      <c r="G43" s="76"/>
      <c r="H43" s="76"/>
      <c r="I43" s="76"/>
      <c r="J43" s="76"/>
      <c r="K43" s="76"/>
    </row>
    <row r="44" spans="1:11" ht="18" customHeight="1" x14ac:dyDescent="0.2">
      <c r="A44" s="76"/>
      <c r="B44" s="194" t="s">
        <v>277</v>
      </c>
      <c r="C44" s="195" t="s">
        <v>278</v>
      </c>
      <c r="D44" s="196">
        <v>3.81</v>
      </c>
      <c r="E44" s="196">
        <v>2.95</v>
      </c>
      <c r="F44" s="76"/>
      <c r="G44" s="76"/>
      <c r="H44" s="76"/>
      <c r="I44" s="76"/>
      <c r="J44" s="76"/>
      <c r="K44" s="76"/>
    </row>
    <row r="45" spans="1:11" ht="18" customHeight="1" x14ac:dyDescent="0.2">
      <c r="A45" s="76"/>
      <c r="B45" s="194" t="s">
        <v>279</v>
      </c>
      <c r="C45" s="195" t="s">
        <v>280</v>
      </c>
      <c r="D45" s="196">
        <v>0.44</v>
      </c>
      <c r="E45" s="196">
        <v>0.34</v>
      </c>
      <c r="F45" s="76"/>
      <c r="G45" s="76"/>
      <c r="H45" s="76"/>
      <c r="I45" s="76"/>
      <c r="J45" s="76"/>
      <c r="K45" s="76"/>
    </row>
    <row r="46" spans="1:11" ht="18" customHeight="1" x14ac:dyDescent="0.2">
      <c r="A46" s="76"/>
      <c r="B46" s="81" t="s">
        <v>281</v>
      </c>
      <c r="C46" s="81" t="s">
        <v>165</v>
      </c>
      <c r="D46" s="82">
        <f t="shared" ref="D46:E46" si="1">SUM(D41:D45)</f>
        <v>14.370000000000001</v>
      </c>
      <c r="E46" s="82">
        <f t="shared" si="1"/>
        <v>11.120000000000001</v>
      </c>
      <c r="F46" s="76"/>
      <c r="G46" s="76"/>
      <c r="H46" s="76"/>
      <c r="I46" s="76"/>
      <c r="J46" s="76"/>
      <c r="K46" s="76"/>
    </row>
    <row r="47" spans="1:11" ht="18" customHeight="1" x14ac:dyDescent="0.2">
      <c r="A47" s="76"/>
      <c r="B47" s="263" t="s">
        <v>282</v>
      </c>
      <c r="C47" s="264"/>
      <c r="D47" s="264"/>
      <c r="E47" s="265"/>
      <c r="F47" s="76"/>
      <c r="G47" s="76"/>
      <c r="H47" s="76"/>
      <c r="I47" s="76"/>
      <c r="J47" s="76"/>
      <c r="K47" s="76"/>
    </row>
    <row r="48" spans="1:11" ht="18" customHeight="1" x14ac:dyDescent="0.2">
      <c r="A48" s="76"/>
      <c r="B48" s="194" t="s">
        <v>283</v>
      </c>
      <c r="C48" s="195" t="s">
        <v>284</v>
      </c>
      <c r="D48" s="196">
        <v>7.4</v>
      </c>
      <c r="E48" s="196">
        <v>2.75</v>
      </c>
      <c r="F48" s="76"/>
      <c r="G48" s="76"/>
      <c r="H48" s="76"/>
      <c r="I48" s="76"/>
      <c r="J48" s="76"/>
      <c r="K48" s="76"/>
    </row>
    <row r="49" spans="1:11" ht="30" customHeight="1" x14ac:dyDescent="0.2">
      <c r="A49" s="76"/>
      <c r="B49" s="194" t="s">
        <v>285</v>
      </c>
      <c r="C49" s="197" t="s">
        <v>286</v>
      </c>
      <c r="D49" s="196">
        <v>0.44</v>
      </c>
      <c r="E49" s="196">
        <v>0.34</v>
      </c>
      <c r="F49" s="76"/>
      <c r="G49" s="76"/>
      <c r="H49" s="76"/>
      <c r="I49" s="76"/>
      <c r="J49" s="76"/>
      <c r="K49" s="76"/>
    </row>
    <row r="50" spans="1:11" ht="18" customHeight="1" x14ac:dyDescent="0.2">
      <c r="A50" s="76"/>
      <c r="B50" s="81" t="s">
        <v>287</v>
      </c>
      <c r="C50" s="81" t="s">
        <v>165</v>
      </c>
      <c r="D50" s="82">
        <v>7.84</v>
      </c>
      <c r="E50" s="82">
        <f t="shared" ref="E50" si="2">SUM(E48:E49)</f>
        <v>3.09</v>
      </c>
      <c r="F50" s="76"/>
      <c r="G50" s="76"/>
      <c r="H50" s="76"/>
      <c r="I50" s="76"/>
      <c r="J50" s="76"/>
      <c r="K50" s="76"/>
    </row>
    <row r="51" spans="1:11" ht="4.5" customHeight="1" x14ac:dyDescent="0.2">
      <c r="A51" s="76"/>
      <c r="B51" s="83"/>
      <c r="C51" s="174"/>
      <c r="D51" s="84"/>
      <c r="E51" s="84"/>
      <c r="F51" s="76"/>
      <c r="G51" s="76"/>
      <c r="H51" s="76"/>
      <c r="I51" s="76"/>
      <c r="J51" s="76"/>
      <c r="K51" s="76"/>
    </row>
    <row r="52" spans="1:11" ht="18" customHeight="1" x14ac:dyDescent="0.2">
      <c r="A52" s="76"/>
      <c r="B52" s="266" t="s">
        <v>288</v>
      </c>
      <c r="C52" s="265"/>
      <c r="D52" s="82">
        <f t="shared" ref="D52:E52" si="3">D27+D39+D46+D50</f>
        <v>83.04</v>
      </c>
      <c r="E52" s="82">
        <f t="shared" si="3"/>
        <v>47.350000000000009</v>
      </c>
      <c r="F52" s="76"/>
      <c r="G52" s="76"/>
      <c r="H52" s="76"/>
      <c r="I52" s="76"/>
      <c r="J52" s="76"/>
      <c r="K52" s="76"/>
    </row>
    <row r="53" spans="1:11" ht="15" customHeight="1" x14ac:dyDescent="0.25">
      <c r="A53" s="76"/>
      <c r="B53" s="198"/>
      <c r="C53" s="198"/>
      <c r="D53" s="198"/>
      <c r="E53" s="198"/>
      <c r="F53" s="76"/>
      <c r="G53" s="76"/>
      <c r="H53" s="76"/>
      <c r="I53" s="76"/>
      <c r="J53" s="76"/>
      <c r="K53" s="76"/>
    </row>
    <row r="54" spans="1:11" ht="15" customHeight="1" x14ac:dyDescent="0.2">
      <c r="A54" s="76"/>
      <c r="B54" s="252" t="s">
        <v>334</v>
      </c>
      <c r="C54" s="267"/>
      <c r="D54" s="267"/>
      <c r="E54" s="267"/>
      <c r="F54" s="76"/>
      <c r="G54" s="76"/>
      <c r="H54" s="76"/>
      <c r="I54" s="76"/>
      <c r="J54" s="76"/>
      <c r="K54" s="76"/>
    </row>
    <row r="55" spans="1:11" ht="14.25" customHeight="1" x14ac:dyDescent="0.25">
      <c r="A55" s="76"/>
      <c r="B55" s="199"/>
      <c r="C55" s="199"/>
      <c r="D55" s="199"/>
      <c r="E55" s="199"/>
      <c r="F55" s="76"/>
      <c r="G55" s="76"/>
      <c r="H55" s="76"/>
      <c r="I55" s="76"/>
      <c r="J55" s="76"/>
      <c r="K55" s="76"/>
    </row>
    <row r="56" spans="1:11" ht="14.25" customHeight="1" x14ac:dyDescent="0.2">
      <c r="A56" s="76"/>
      <c r="B56" s="270" t="s">
        <v>335</v>
      </c>
      <c r="C56" s="270"/>
      <c r="D56" s="173" t="s">
        <v>148</v>
      </c>
      <c r="E56" s="200"/>
      <c r="F56" s="76"/>
      <c r="G56" s="76"/>
      <c r="H56" s="76"/>
      <c r="I56" s="76"/>
      <c r="J56" s="76"/>
      <c r="K56" s="76"/>
    </row>
    <row r="57" spans="1:11" ht="15" customHeight="1" x14ac:dyDescent="0.2">
      <c r="A57" s="76"/>
      <c r="B57" s="271" t="s">
        <v>336</v>
      </c>
      <c r="C57" s="271"/>
      <c r="D57" s="174" t="s">
        <v>150</v>
      </c>
      <c r="E57" s="200"/>
      <c r="F57" s="76"/>
      <c r="G57" s="76"/>
      <c r="H57" s="76"/>
      <c r="I57" s="76"/>
      <c r="J57" s="76"/>
      <c r="K57" s="76"/>
    </row>
    <row r="58" spans="1:11" ht="14.25" customHeight="1" x14ac:dyDescent="0.2">
      <c r="A58" s="76"/>
      <c r="B58" s="200"/>
      <c r="C58" s="200"/>
      <c r="D58" s="172" t="s">
        <v>152</v>
      </c>
      <c r="E58" s="200"/>
      <c r="F58" s="76"/>
      <c r="G58" s="76"/>
      <c r="H58" s="76"/>
      <c r="I58" s="76"/>
      <c r="J58" s="76"/>
      <c r="K58" s="76"/>
    </row>
    <row r="59" spans="1:11" ht="14.25" customHeight="1" x14ac:dyDescent="0.2">
      <c r="A59" s="76"/>
      <c r="C59" s="201"/>
      <c r="D59" s="201"/>
      <c r="E59" s="201"/>
      <c r="F59" s="76"/>
      <c r="G59" s="76"/>
      <c r="H59" s="76"/>
      <c r="I59" s="76"/>
      <c r="J59" s="76"/>
      <c r="K59" s="76"/>
    </row>
    <row r="60" spans="1:11" ht="14.25" customHeight="1" x14ac:dyDescent="0.2">
      <c r="A60" s="76"/>
      <c r="C60" s="201"/>
      <c r="D60" s="201"/>
      <c r="E60" s="201"/>
      <c r="F60" s="76"/>
      <c r="G60" s="76"/>
      <c r="H60" s="76"/>
      <c r="I60" s="76"/>
      <c r="J60" s="76"/>
      <c r="K60" s="76"/>
    </row>
    <row r="61" spans="1:11" ht="14.25" customHeight="1" x14ac:dyDescent="0.2">
      <c r="A61" s="76"/>
      <c r="C61" s="201"/>
      <c r="D61" s="201"/>
      <c r="E61" s="201"/>
      <c r="F61" s="76"/>
      <c r="G61" s="76"/>
      <c r="H61" s="76"/>
      <c r="I61" s="76"/>
      <c r="J61" s="76"/>
      <c r="K61" s="76"/>
    </row>
    <row r="62" spans="1:11" ht="14.25" customHeight="1" x14ac:dyDescent="0.2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</row>
    <row r="63" spans="1:11" ht="14.25" customHeight="1" x14ac:dyDescent="0.2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</row>
    <row r="64" spans="1:11" ht="14.25" customHeight="1" x14ac:dyDescent="0.2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</row>
    <row r="65" spans="1:11" ht="14.25" customHeight="1" x14ac:dyDescent="0.2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</row>
    <row r="66" spans="1:11" ht="14.25" customHeight="1" x14ac:dyDescent="0.2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</row>
    <row r="67" spans="1:11" ht="14.25" customHeight="1" x14ac:dyDescent="0.2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</row>
    <row r="68" spans="1:11" ht="14.25" customHeight="1" x14ac:dyDescent="0.2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</row>
    <row r="69" spans="1:11" ht="14.25" customHeight="1" x14ac:dyDescent="0.2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</row>
    <row r="70" spans="1:11" ht="14.25" customHeight="1" x14ac:dyDescent="0.2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</row>
    <row r="71" spans="1:11" ht="14.25" customHeight="1" x14ac:dyDescent="0.2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</row>
    <row r="72" spans="1:11" ht="14.25" customHeight="1" x14ac:dyDescent="0.2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</row>
    <row r="73" spans="1:11" ht="14.25" customHeight="1" x14ac:dyDescent="0.2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</row>
    <row r="74" spans="1:11" ht="14.25" customHeight="1" x14ac:dyDescent="0.2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</row>
    <row r="75" spans="1:11" ht="14.25" customHeight="1" x14ac:dyDescent="0.2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</row>
    <row r="76" spans="1:11" ht="14.25" customHeight="1" x14ac:dyDescent="0.2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</row>
    <row r="77" spans="1:11" ht="14.25" customHeight="1" x14ac:dyDescent="0.2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</row>
    <row r="78" spans="1:11" ht="14.25" customHeight="1" x14ac:dyDescent="0.2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</row>
    <row r="79" spans="1:11" ht="14.25" customHeight="1" x14ac:dyDescent="0.2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</row>
    <row r="80" spans="1:11" ht="14.25" customHeight="1" x14ac:dyDescent="0.2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</row>
    <row r="81" spans="1:11" ht="14.25" customHeight="1" x14ac:dyDescent="0.2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</row>
    <row r="82" spans="1:11" ht="14.25" customHeight="1" x14ac:dyDescent="0.2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</row>
    <row r="83" spans="1:11" ht="14.25" customHeight="1" x14ac:dyDescent="0.2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</row>
    <row r="84" spans="1:11" ht="14.25" customHeight="1" x14ac:dyDescent="0.2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</row>
    <row r="85" spans="1:11" ht="14.25" customHeight="1" x14ac:dyDescent="0.2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</row>
    <row r="86" spans="1:11" ht="14.25" customHeight="1" x14ac:dyDescent="0.2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</row>
    <row r="87" spans="1:11" ht="14.25" customHeight="1" x14ac:dyDescent="0.2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</row>
    <row r="88" spans="1:11" ht="14.25" customHeight="1" x14ac:dyDescent="0.2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</row>
    <row r="89" spans="1:11" ht="14.25" customHeight="1" x14ac:dyDescent="0.2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</row>
    <row r="90" spans="1:11" ht="14.25" customHeight="1" x14ac:dyDescent="0.2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</row>
    <row r="91" spans="1:11" ht="14.25" customHeight="1" x14ac:dyDescent="0.2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</row>
    <row r="92" spans="1:11" ht="14.25" customHeight="1" x14ac:dyDescent="0.2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</row>
    <row r="93" spans="1:11" ht="14.25" customHeight="1" x14ac:dyDescent="0.2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</row>
    <row r="94" spans="1:11" ht="14.25" customHeight="1" x14ac:dyDescent="0.2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</row>
    <row r="95" spans="1:11" ht="14.25" customHeight="1" x14ac:dyDescent="0.2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</row>
    <row r="96" spans="1:11" ht="14.25" customHeight="1" x14ac:dyDescent="0.2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</row>
    <row r="97" spans="1:11" ht="14.25" customHeight="1" x14ac:dyDescent="0.2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</row>
    <row r="98" spans="1:11" ht="14.25" customHeight="1" x14ac:dyDescent="0.2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</row>
    <row r="99" spans="1:11" ht="14.25" customHeight="1" x14ac:dyDescent="0.2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</row>
    <row r="100" spans="1:11" ht="14.25" customHeight="1" x14ac:dyDescent="0.2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</row>
  </sheetData>
  <mergeCells count="18">
    <mergeCell ref="B56:C56"/>
    <mergeCell ref="B57:C57"/>
    <mergeCell ref="B8:E8"/>
    <mergeCell ref="B9:C9"/>
    <mergeCell ref="B47:E47"/>
    <mergeCell ref="B52:C52"/>
    <mergeCell ref="B54:E54"/>
    <mergeCell ref="B40:E40"/>
    <mergeCell ref="D9:E9"/>
    <mergeCell ref="B11:E11"/>
    <mergeCell ref="B13:E13"/>
    <mergeCell ref="B17:E17"/>
    <mergeCell ref="B28:E28"/>
    <mergeCell ref="B2:E2"/>
    <mergeCell ref="B3:E3"/>
    <mergeCell ref="B4:E4"/>
    <mergeCell ref="B5:E5"/>
    <mergeCell ref="B7:E7"/>
  </mergeCells>
  <printOptions horizontalCentered="1"/>
  <pageMargins left="0.19685039370078741" right="0.19685039370078741" top="0.39370078740157483" bottom="0.39370078740157483" header="0" footer="0.19685039370078741"/>
  <pageSetup scale="7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E42"/>
  <sheetViews>
    <sheetView showGridLines="0" tabSelected="1" zoomScaleNormal="100" workbookViewId="0"/>
  </sheetViews>
  <sheetFormatPr defaultRowHeight="14.25" x14ac:dyDescent="0.2"/>
  <cols>
    <col min="1" max="1" width="4.7109375" style="86" customWidth="1"/>
    <col min="2" max="2" width="8.7109375" style="85" customWidth="1"/>
    <col min="3" max="3" width="50.7109375" style="86" customWidth="1"/>
    <col min="4" max="4" width="50.7109375" style="85" customWidth="1"/>
    <col min="5" max="256" width="9.140625" style="86"/>
    <col min="257" max="257" width="4.7109375" style="86" customWidth="1"/>
    <col min="258" max="258" width="8.7109375" style="86" customWidth="1"/>
    <col min="259" max="260" width="50.7109375" style="86" customWidth="1"/>
    <col min="261" max="512" width="9.140625" style="86"/>
    <col min="513" max="513" width="4.7109375" style="86" customWidth="1"/>
    <col min="514" max="514" width="8.7109375" style="86" customWidth="1"/>
    <col min="515" max="516" width="50.7109375" style="86" customWidth="1"/>
    <col min="517" max="768" width="9.140625" style="86"/>
    <col min="769" max="769" width="4.7109375" style="86" customWidth="1"/>
    <col min="770" max="770" width="8.7109375" style="86" customWidth="1"/>
    <col min="771" max="772" width="50.7109375" style="86" customWidth="1"/>
    <col min="773" max="1024" width="9.140625" style="86"/>
    <col min="1025" max="1025" width="4.7109375" style="86" customWidth="1"/>
    <col min="1026" max="1026" width="8.7109375" style="86" customWidth="1"/>
    <col min="1027" max="1028" width="50.7109375" style="86" customWidth="1"/>
    <col min="1029" max="1280" width="9.140625" style="86"/>
    <col min="1281" max="1281" width="4.7109375" style="86" customWidth="1"/>
    <col min="1282" max="1282" width="8.7109375" style="86" customWidth="1"/>
    <col min="1283" max="1284" width="50.7109375" style="86" customWidth="1"/>
    <col min="1285" max="1536" width="9.140625" style="86"/>
    <col min="1537" max="1537" width="4.7109375" style="86" customWidth="1"/>
    <col min="1538" max="1538" width="8.7109375" style="86" customWidth="1"/>
    <col min="1539" max="1540" width="50.7109375" style="86" customWidth="1"/>
    <col min="1541" max="1792" width="9.140625" style="86"/>
    <col min="1793" max="1793" width="4.7109375" style="86" customWidth="1"/>
    <col min="1794" max="1794" width="8.7109375" style="86" customWidth="1"/>
    <col min="1795" max="1796" width="50.7109375" style="86" customWidth="1"/>
    <col min="1797" max="2048" width="9.140625" style="86"/>
    <col min="2049" max="2049" width="4.7109375" style="86" customWidth="1"/>
    <col min="2050" max="2050" width="8.7109375" style="86" customWidth="1"/>
    <col min="2051" max="2052" width="50.7109375" style="86" customWidth="1"/>
    <col min="2053" max="2304" width="9.140625" style="86"/>
    <col min="2305" max="2305" width="4.7109375" style="86" customWidth="1"/>
    <col min="2306" max="2306" width="8.7109375" style="86" customWidth="1"/>
    <col min="2307" max="2308" width="50.7109375" style="86" customWidth="1"/>
    <col min="2309" max="2560" width="9.140625" style="86"/>
    <col min="2561" max="2561" width="4.7109375" style="86" customWidth="1"/>
    <col min="2562" max="2562" width="8.7109375" style="86" customWidth="1"/>
    <col min="2563" max="2564" width="50.7109375" style="86" customWidth="1"/>
    <col min="2565" max="2816" width="9.140625" style="86"/>
    <col min="2817" max="2817" width="4.7109375" style="86" customWidth="1"/>
    <col min="2818" max="2818" width="8.7109375" style="86" customWidth="1"/>
    <col min="2819" max="2820" width="50.7109375" style="86" customWidth="1"/>
    <col min="2821" max="3072" width="9.140625" style="86"/>
    <col min="3073" max="3073" width="4.7109375" style="86" customWidth="1"/>
    <col min="3074" max="3074" width="8.7109375" style="86" customWidth="1"/>
    <col min="3075" max="3076" width="50.7109375" style="86" customWidth="1"/>
    <col min="3077" max="3328" width="9.140625" style="86"/>
    <col min="3329" max="3329" width="4.7109375" style="86" customWidth="1"/>
    <col min="3330" max="3330" width="8.7109375" style="86" customWidth="1"/>
    <col min="3331" max="3332" width="50.7109375" style="86" customWidth="1"/>
    <col min="3333" max="3584" width="9.140625" style="86"/>
    <col min="3585" max="3585" width="4.7109375" style="86" customWidth="1"/>
    <col min="3586" max="3586" width="8.7109375" style="86" customWidth="1"/>
    <col min="3587" max="3588" width="50.7109375" style="86" customWidth="1"/>
    <col min="3589" max="3840" width="9.140625" style="86"/>
    <col min="3841" max="3841" width="4.7109375" style="86" customWidth="1"/>
    <col min="3842" max="3842" width="8.7109375" style="86" customWidth="1"/>
    <col min="3843" max="3844" width="50.7109375" style="86" customWidth="1"/>
    <col min="3845" max="4096" width="9.140625" style="86"/>
    <col min="4097" max="4097" width="4.7109375" style="86" customWidth="1"/>
    <col min="4098" max="4098" width="8.7109375" style="86" customWidth="1"/>
    <col min="4099" max="4100" width="50.7109375" style="86" customWidth="1"/>
    <col min="4101" max="4352" width="9.140625" style="86"/>
    <col min="4353" max="4353" width="4.7109375" style="86" customWidth="1"/>
    <col min="4354" max="4354" width="8.7109375" style="86" customWidth="1"/>
    <col min="4355" max="4356" width="50.7109375" style="86" customWidth="1"/>
    <col min="4357" max="4608" width="9.140625" style="86"/>
    <col min="4609" max="4609" width="4.7109375" style="86" customWidth="1"/>
    <col min="4610" max="4610" width="8.7109375" style="86" customWidth="1"/>
    <col min="4611" max="4612" width="50.7109375" style="86" customWidth="1"/>
    <col min="4613" max="4864" width="9.140625" style="86"/>
    <col min="4865" max="4865" width="4.7109375" style="86" customWidth="1"/>
    <col min="4866" max="4866" width="8.7109375" style="86" customWidth="1"/>
    <col min="4867" max="4868" width="50.7109375" style="86" customWidth="1"/>
    <col min="4869" max="5120" width="9.140625" style="86"/>
    <col min="5121" max="5121" width="4.7109375" style="86" customWidth="1"/>
    <col min="5122" max="5122" width="8.7109375" style="86" customWidth="1"/>
    <col min="5123" max="5124" width="50.7109375" style="86" customWidth="1"/>
    <col min="5125" max="5376" width="9.140625" style="86"/>
    <col min="5377" max="5377" width="4.7109375" style="86" customWidth="1"/>
    <col min="5378" max="5378" width="8.7109375" style="86" customWidth="1"/>
    <col min="5379" max="5380" width="50.7109375" style="86" customWidth="1"/>
    <col min="5381" max="5632" width="9.140625" style="86"/>
    <col min="5633" max="5633" width="4.7109375" style="86" customWidth="1"/>
    <col min="5634" max="5634" width="8.7109375" style="86" customWidth="1"/>
    <col min="5635" max="5636" width="50.7109375" style="86" customWidth="1"/>
    <col min="5637" max="5888" width="9.140625" style="86"/>
    <col min="5889" max="5889" width="4.7109375" style="86" customWidth="1"/>
    <col min="5890" max="5890" width="8.7109375" style="86" customWidth="1"/>
    <col min="5891" max="5892" width="50.7109375" style="86" customWidth="1"/>
    <col min="5893" max="6144" width="9.140625" style="86"/>
    <col min="6145" max="6145" width="4.7109375" style="86" customWidth="1"/>
    <col min="6146" max="6146" width="8.7109375" style="86" customWidth="1"/>
    <col min="6147" max="6148" width="50.7109375" style="86" customWidth="1"/>
    <col min="6149" max="6400" width="9.140625" style="86"/>
    <col min="6401" max="6401" width="4.7109375" style="86" customWidth="1"/>
    <col min="6402" max="6402" width="8.7109375" style="86" customWidth="1"/>
    <col min="6403" max="6404" width="50.7109375" style="86" customWidth="1"/>
    <col min="6405" max="6656" width="9.140625" style="86"/>
    <col min="6657" max="6657" width="4.7109375" style="86" customWidth="1"/>
    <col min="6658" max="6658" width="8.7109375" style="86" customWidth="1"/>
    <col min="6659" max="6660" width="50.7109375" style="86" customWidth="1"/>
    <col min="6661" max="6912" width="9.140625" style="86"/>
    <col min="6913" max="6913" width="4.7109375" style="86" customWidth="1"/>
    <col min="6914" max="6914" width="8.7109375" style="86" customWidth="1"/>
    <col min="6915" max="6916" width="50.7109375" style="86" customWidth="1"/>
    <col min="6917" max="7168" width="9.140625" style="86"/>
    <col min="7169" max="7169" width="4.7109375" style="86" customWidth="1"/>
    <col min="7170" max="7170" width="8.7109375" style="86" customWidth="1"/>
    <col min="7171" max="7172" width="50.7109375" style="86" customWidth="1"/>
    <col min="7173" max="7424" width="9.140625" style="86"/>
    <col min="7425" max="7425" width="4.7109375" style="86" customWidth="1"/>
    <col min="7426" max="7426" width="8.7109375" style="86" customWidth="1"/>
    <col min="7427" max="7428" width="50.7109375" style="86" customWidth="1"/>
    <col min="7429" max="7680" width="9.140625" style="86"/>
    <col min="7681" max="7681" width="4.7109375" style="86" customWidth="1"/>
    <col min="7682" max="7682" width="8.7109375" style="86" customWidth="1"/>
    <col min="7683" max="7684" width="50.7109375" style="86" customWidth="1"/>
    <col min="7685" max="7936" width="9.140625" style="86"/>
    <col min="7937" max="7937" width="4.7109375" style="86" customWidth="1"/>
    <col min="7938" max="7938" width="8.7109375" style="86" customWidth="1"/>
    <col min="7939" max="7940" width="50.7109375" style="86" customWidth="1"/>
    <col min="7941" max="8192" width="9.140625" style="86"/>
    <col min="8193" max="8193" width="4.7109375" style="86" customWidth="1"/>
    <col min="8194" max="8194" width="8.7109375" style="86" customWidth="1"/>
    <col min="8195" max="8196" width="50.7109375" style="86" customWidth="1"/>
    <col min="8197" max="8448" width="9.140625" style="86"/>
    <col min="8449" max="8449" width="4.7109375" style="86" customWidth="1"/>
    <col min="8450" max="8450" width="8.7109375" style="86" customWidth="1"/>
    <col min="8451" max="8452" width="50.7109375" style="86" customWidth="1"/>
    <col min="8453" max="8704" width="9.140625" style="86"/>
    <col min="8705" max="8705" width="4.7109375" style="86" customWidth="1"/>
    <col min="8706" max="8706" width="8.7109375" style="86" customWidth="1"/>
    <col min="8707" max="8708" width="50.7109375" style="86" customWidth="1"/>
    <col min="8709" max="8960" width="9.140625" style="86"/>
    <col min="8961" max="8961" width="4.7109375" style="86" customWidth="1"/>
    <col min="8962" max="8962" width="8.7109375" style="86" customWidth="1"/>
    <col min="8963" max="8964" width="50.7109375" style="86" customWidth="1"/>
    <col min="8965" max="9216" width="9.140625" style="86"/>
    <col min="9217" max="9217" width="4.7109375" style="86" customWidth="1"/>
    <col min="9218" max="9218" width="8.7109375" style="86" customWidth="1"/>
    <col min="9219" max="9220" width="50.7109375" style="86" customWidth="1"/>
    <col min="9221" max="9472" width="9.140625" style="86"/>
    <col min="9473" max="9473" width="4.7109375" style="86" customWidth="1"/>
    <col min="9474" max="9474" width="8.7109375" style="86" customWidth="1"/>
    <col min="9475" max="9476" width="50.7109375" style="86" customWidth="1"/>
    <col min="9477" max="9728" width="9.140625" style="86"/>
    <col min="9729" max="9729" width="4.7109375" style="86" customWidth="1"/>
    <col min="9730" max="9730" width="8.7109375" style="86" customWidth="1"/>
    <col min="9731" max="9732" width="50.7109375" style="86" customWidth="1"/>
    <col min="9733" max="9984" width="9.140625" style="86"/>
    <col min="9985" max="9985" width="4.7109375" style="86" customWidth="1"/>
    <col min="9986" max="9986" width="8.7109375" style="86" customWidth="1"/>
    <col min="9987" max="9988" width="50.7109375" style="86" customWidth="1"/>
    <col min="9989" max="10240" width="9.140625" style="86"/>
    <col min="10241" max="10241" width="4.7109375" style="86" customWidth="1"/>
    <col min="10242" max="10242" width="8.7109375" style="86" customWidth="1"/>
    <col min="10243" max="10244" width="50.7109375" style="86" customWidth="1"/>
    <col min="10245" max="10496" width="9.140625" style="86"/>
    <col min="10497" max="10497" width="4.7109375" style="86" customWidth="1"/>
    <col min="10498" max="10498" width="8.7109375" style="86" customWidth="1"/>
    <col min="10499" max="10500" width="50.7109375" style="86" customWidth="1"/>
    <col min="10501" max="10752" width="9.140625" style="86"/>
    <col min="10753" max="10753" width="4.7109375" style="86" customWidth="1"/>
    <col min="10754" max="10754" width="8.7109375" style="86" customWidth="1"/>
    <col min="10755" max="10756" width="50.7109375" style="86" customWidth="1"/>
    <col min="10757" max="11008" width="9.140625" style="86"/>
    <col min="11009" max="11009" width="4.7109375" style="86" customWidth="1"/>
    <col min="11010" max="11010" width="8.7109375" style="86" customWidth="1"/>
    <col min="11011" max="11012" width="50.7109375" style="86" customWidth="1"/>
    <col min="11013" max="11264" width="9.140625" style="86"/>
    <col min="11265" max="11265" width="4.7109375" style="86" customWidth="1"/>
    <col min="11266" max="11266" width="8.7109375" style="86" customWidth="1"/>
    <col min="11267" max="11268" width="50.7109375" style="86" customWidth="1"/>
    <col min="11269" max="11520" width="9.140625" style="86"/>
    <col min="11521" max="11521" width="4.7109375" style="86" customWidth="1"/>
    <col min="11522" max="11522" width="8.7109375" style="86" customWidth="1"/>
    <col min="11523" max="11524" width="50.7109375" style="86" customWidth="1"/>
    <col min="11525" max="11776" width="9.140625" style="86"/>
    <col min="11777" max="11777" width="4.7109375" style="86" customWidth="1"/>
    <col min="11778" max="11778" width="8.7109375" style="86" customWidth="1"/>
    <col min="11779" max="11780" width="50.7109375" style="86" customWidth="1"/>
    <col min="11781" max="12032" width="9.140625" style="86"/>
    <col min="12033" max="12033" width="4.7109375" style="86" customWidth="1"/>
    <col min="12034" max="12034" width="8.7109375" style="86" customWidth="1"/>
    <col min="12035" max="12036" width="50.7109375" style="86" customWidth="1"/>
    <col min="12037" max="12288" width="9.140625" style="86"/>
    <col min="12289" max="12289" width="4.7109375" style="86" customWidth="1"/>
    <col min="12290" max="12290" width="8.7109375" style="86" customWidth="1"/>
    <col min="12291" max="12292" width="50.7109375" style="86" customWidth="1"/>
    <col min="12293" max="12544" width="9.140625" style="86"/>
    <col min="12545" max="12545" width="4.7109375" style="86" customWidth="1"/>
    <col min="12546" max="12546" width="8.7109375" style="86" customWidth="1"/>
    <col min="12547" max="12548" width="50.7109375" style="86" customWidth="1"/>
    <col min="12549" max="12800" width="9.140625" style="86"/>
    <col min="12801" max="12801" width="4.7109375" style="86" customWidth="1"/>
    <col min="12802" max="12802" width="8.7109375" style="86" customWidth="1"/>
    <col min="12803" max="12804" width="50.7109375" style="86" customWidth="1"/>
    <col min="12805" max="13056" width="9.140625" style="86"/>
    <col min="13057" max="13057" width="4.7109375" style="86" customWidth="1"/>
    <col min="13058" max="13058" width="8.7109375" style="86" customWidth="1"/>
    <col min="13059" max="13060" width="50.7109375" style="86" customWidth="1"/>
    <col min="13061" max="13312" width="9.140625" style="86"/>
    <col min="13313" max="13313" width="4.7109375" style="86" customWidth="1"/>
    <col min="13314" max="13314" width="8.7109375" style="86" customWidth="1"/>
    <col min="13315" max="13316" width="50.7109375" style="86" customWidth="1"/>
    <col min="13317" max="13568" width="9.140625" style="86"/>
    <col min="13569" max="13569" width="4.7109375" style="86" customWidth="1"/>
    <col min="13570" max="13570" width="8.7109375" style="86" customWidth="1"/>
    <col min="13571" max="13572" width="50.7109375" style="86" customWidth="1"/>
    <col min="13573" max="13824" width="9.140625" style="86"/>
    <col min="13825" max="13825" width="4.7109375" style="86" customWidth="1"/>
    <col min="13826" max="13826" width="8.7109375" style="86" customWidth="1"/>
    <col min="13827" max="13828" width="50.7109375" style="86" customWidth="1"/>
    <col min="13829" max="14080" width="9.140625" style="86"/>
    <col min="14081" max="14081" width="4.7109375" style="86" customWidth="1"/>
    <col min="14082" max="14082" width="8.7109375" style="86" customWidth="1"/>
    <col min="14083" max="14084" width="50.7109375" style="86" customWidth="1"/>
    <col min="14085" max="14336" width="9.140625" style="86"/>
    <col min="14337" max="14337" width="4.7109375" style="86" customWidth="1"/>
    <col min="14338" max="14338" width="8.7109375" style="86" customWidth="1"/>
    <col min="14339" max="14340" width="50.7109375" style="86" customWidth="1"/>
    <col min="14341" max="14592" width="9.140625" style="86"/>
    <col min="14593" max="14593" width="4.7109375" style="86" customWidth="1"/>
    <col min="14594" max="14594" width="8.7109375" style="86" customWidth="1"/>
    <col min="14595" max="14596" width="50.7109375" style="86" customWidth="1"/>
    <col min="14597" max="14848" width="9.140625" style="86"/>
    <col min="14849" max="14849" width="4.7109375" style="86" customWidth="1"/>
    <col min="14850" max="14850" width="8.7109375" style="86" customWidth="1"/>
    <col min="14851" max="14852" width="50.7109375" style="86" customWidth="1"/>
    <col min="14853" max="15104" width="9.140625" style="86"/>
    <col min="15105" max="15105" width="4.7109375" style="86" customWidth="1"/>
    <col min="15106" max="15106" width="8.7109375" style="86" customWidth="1"/>
    <col min="15107" max="15108" width="50.7109375" style="86" customWidth="1"/>
    <col min="15109" max="15360" width="9.140625" style="86"/>
    <col min="15361" max="15361" width="4.7109375" style="86" customWidth="1"/>
    <col min="15362" max="15362" width="8.7109375" style="86" customWidth="1"/>
    <col min="15363" max="15364" width="50.7109375" style="86" customWidth="1"/>
    <col min="15365" max="15616" width="9.140625" style="86"/>
    <col min="15617" max="15617" width="4.7109375" style="86" customWidth="1"/>
    <col min="15618" max="15618" width="8.7109375" style="86" customWidth="1"/>
    <col min="15619" max="15620" width="50.7109375" style="86" customWidth="1"/>
    <col min="15621" max="15872" width="9.140625" style="86"/>
    <col min="15873" max="15873" width="4.7109375" style="86" customWidth="1"/>
    <col min="15874" max="15874" width="8.7109375" style="86" customWidth="1"/>
    <col min="15875" max="15876" width="50.7109375" style="86" customWidth="1"/>
    <col min="15877" max="16128" width="9.140625" style="86"/>
    <col min="16129" max="16129" width="4.7109375" style="86" customWidth="1"/>
    <col min="16130" max="16130" width="8.7109375" style="86" customWidth="1"/>
    <col min="16131" max="16132" width="50.7109375" style="86" customWidth="1"/>
    <col min="16133" max="16384" width="9.140625" style="86"/>
  </cols>
  <sheetData>
    <row r="1" spans="2:5" ht="18" customHeight="1" x14ac:dyDescent="0.2"/>
    <row r="2" spans="2:5" ht="18" customHeight="1" x14ac:dyDescent="0.2">
      <c r="B2" s="273" t="s">
        <v>0</v>
      </c>
      <c r="C2" s="274"/>
      <c r="D2" s="275"/>
    </row>
    <row r="3" spans="2:5" ht="18" customHeight="1" x14ac:dyDescent="0.2">
      <c r="B3" s="276" t="s">
        <v>289</v>
      </c>
      <c r="C3" s="277"/>
      <c r="D3" s="278"/>
    </row>
    <row r="4" spans="2:5" ht="18" customHeight="1" x14ac:dyDescent="0.2">
      <c r="B4" s="279" t="s">
        <v>290</v>
      </c>
      <c r="C4" s="280"/>
      <c r="D4" s="281"/>
    </row>
    <row r="5" spans="2:5" ht="18" customHeight="1" x14ac:dyDescent="0.2">
      <c r="B5" s="282" t="s">
        <v>332</v>
      </c>
      <c r="C5" s="280"/>
      <c r="D5" s="281"/>
    </row>
    <row r="6" spans="2:5" ht="30" customHeight="1" x14ac:dyDescent="0.2">
      <c r="B6" s="283" t="s">
        <v>291</v>
      </c>
      <c r="C6" s="284"/>
      <c r="D6" s="285"/>
    </row>
    <row r="7" spans="2:5" ht="18" customHeight="1" x14ac:dyDescent="0.2">
      <c r="B7" s="286" t="s">
        <v>333</v>
      </c>
      <c r="C7" s="287"/>
      <c r="D7" s="288"/>
    </row>
    <row r="8" spans="2:5" ht="5.0999999999999996" customHeight="1" thickBot="1" x14ac:dyDescent="0.25">
      <c r="B8" s="87"/>
      <c r="C8" s="88"/>
      <c r="D8" s="87"/>
    </row>
    <row r="9" spans="2:5" ht="18" customHeight="1" thickTop="1" thickBot="1" x14ac:dyDescent="0.25">
      <c r="B9" s="289" t="s">
        <v>292</v>
      </c>
      <c r="C9" s="290"/>
      <c r="D9" s="291"/>
    </row>
    <row r="10" spans="2:5" ht="5.0999999999999996" customHeight="1" thickTop="1" x14ac:dyDescent="0.2">
      <c r="B10" s="87"/>
      <c r="C10" s="88"/>
      <c r="D10" s="87"/>
    </row>
    <row r="11" spans="2:5" ht="18" customHeight="1" x14ac:dyDescent="0.2">
      <c r="B11" s="292" t="s">
        <v>224</v>
      </c>
      <c r="C11" s="292"/>
      <c r="D11" s="89" t="s">
        <v>293</v>
      </c>
      <c r="E11" s="90"/>
    </row>
    <row r="12" spans="2:5" ht="5.0999999999999996" customHeight="1" x14ac:dyDescent="0.2">
      <c r="B12" s="91"/>
      <c r="C12" s="91"/>
      <c r="D12" s="92"/>
      <c r="E12" s="90"/>
    </row>
    <row r="13" spans="2:5" ht="18" customHeight="1" x14ac:dyDescent="0.2">
      <c r="B13" s="272" t="s">
        <v>294</v>
      </c>
      <c r="C13" s="272"/>
      <c r="D13" s="93">
        <v>5.3849999999999998</v>
      </c>
      <c r="E13" s="94">
        <f t="shared" ref="E13:E20" si="0">D13/100</f>
        <v>5.3849999999999995E-2</v>
      </c>
    </row>
    <row r="14" spans="2:5" ht="18" customHeight="1" x14ac:dyDescent="0.2">
      <c r="B14" s="272" t="s">
        <v>295</v>
      </c>
      <c r="C14" s="272"/>
      <c r="D14" s="93">
        <v>3</v>
      </c>
      <c r="E14" s="94">
        <f t="shared" si="0"/>
        <v>0.03</v>
      </c>
    </row>
    <row r="15" spans="2:5" ht="18" customHeight="1" x14ac:dyDescent="0.2">
      <c r="B15" s="272" t="s">
        <v>296</v>
      </c>
      <c r="C15" s="272"/>
      <c r="D15" s="93">
        <v>0.59</v>
      </c>
      <c r="E15" s="94">
        <f t="shared" si="0"/>
        <v>5.8999999999999999E-3</v>
      </c>
    </row>
    <row r="16" spans="2:5" ht="18" customHeight="1" x14ac:dyDescent="0.2">
      <c r="B16" s="272" t="s">
        <v>297</v>
      </c>
      <c r="C16" s="272"/>
      <c r="D16" s="93">
        <v>3</v>
      </c>
      <c r="E16" s="94">
        <f t="shared" si="0"/>
        <v>0.03</v>
      </c>
    </row>
    <row r="17" spans="2:5" ht="18" customHeight="1" x14ac:dyDescent="0.2">
      <c r="B17" s="272" t="s">
        <v>298</v>
      </c>
      <c r="C17" s="272"/>
      <c r="D17" s="93">
        <v>0.65</v>
      </c>
      <c r="E17" s="94">
        <f t="shared" si="0"/>
        <v>6.5000000000000006E-3</v>
      </c>
    </row>
    <row r="18" spans="2:5" ht="18" customHeight="1" x14ac:dyDescent="0.2">
      <c r="B18" s="272" t="s">
        <v>299</v>
      </c>
      <c r="C18" s="272"/>
      <c r="D18" s="93">
        <v>4.5</v>
      </c>
      <c r="E18" s="94">
        <f t="shared" si="0"/>
        <v>4.4999999999999998E-2</v>
      </c>
    </row>
    <row r="19" spans="2:5" ht="18" customHeight="1" x14ac:dyDescent="0.2">
      <c r="B19" s="272" t="s">
        <v>300</v>
      </c>
      <c r="C19" s="272"/>
      <c r="D19" s="93">
        <v>3</v>
      </c>
      <c r="E19" s="94">
        <f t="shared" si="0"/>
        <v>0.03</v>
      </c>
    </row>
    <row r="20" spans="2:5" ht="18" customHeight="1" x14ac:dyDescent="0.2">
      <c r="B20" s="295" t="s">
        <v>301</v>
      </c>
      <c r="C20" s="295"/>
      <c r="D20" s="93">
        <v>1.77</v>
      </c>
      <c r="E20" s="94">
        <f t="shared" si="0"/>
        <v>1.77E-2</v>
      </c>
    </row>
    <row r="21" spans="2:5" ht="5.0999999999999996" customHeight="1" x14ac:dyDescent="0.2">
      <c r="B21" s="95"/>
      <c r="C21" s="96"/>
      <c r="D21" s="97"/>
      <c r="E21" s="98"/>
    </row>
    <row r="22" spans="2:5" ht="18" customHeight="1" x14ac:dyDescent="0.2">
      <c r="B22" s="296" t="s">
        <v>302</v>
      </c>
      <c r="C22" s="297"/>
      <c r="D22" s="298"/>
      <c r="E22" s="99"/>
    </row>
    <row r="23" spans="2:5" ht="18" customHeight="1" x14ac:dyDescent="0.2">
      <c r="B23" s="100"/>
      <c r="C23" s="96"/>
      <c r="D23" s="101"/>
      <c r="E23" s="102"/>
    </row>
    <row r="24" spans="2:5" ht="18" customHeight="1" x14ac:dyDescent="0.2">
      <c r="B24" s="100"/>
      <c r="C24" s="96"/>
      <c r="D24" s="101"/>
      <c r="E24" s="102"/>
    </row>
    <row r="25" spans="2:5" ht="18" customHeight="1" x14ac:dyDescent="0.2">
      <c r="B25" s="103"/>
      <c r="C25" s="104"/>
      <c r="D25" s="101"/>
      <c r="E25" s="102"/>
    </row>
    <row r="26" spans="2:5" ht="18" customHeight="1" x14ac:dyDescent="0.2">
      <c r="B26" s="103"/>
      <c r="C26" s="104"/>
      <c r="D26" s="101"/>
      <c r="E26" s="102"/>
    </row>
    <row r="27" spans="2:5" ht="18" customHeight="1" x14ac:dyDescent="0.3">
      <c r="B27" s="103"/>
      <c r="C27" s="104"/>
      <c r="D27" s="101"/>
      <c r="E27" s="105"/>
    </row>
    <row r="28" spans="2:5" ht="18" customHeight="1" x14ac:dyDescent="0.3">
      <c r="B28" s="106"/>
      <c r="C28" s="107"/>
      <c r="D28" s="108"/>
      <c r="E28" s="105"/>
    </row>
    <row r="29" spans="2:5" ht="18" customHeight="1" x14ac:dyDescent="0.3">
      <c r="B29" s="109" t="s">
        <v>303</v>
      </c>
      <c r="C29" s="110">
        <f>(D14+D20)</f>
        <v>4.7699999999999996</v>
      </c>
      <c r="D29" s="108"/>
      <c r="E29" s="105"/>
    </row>
    <row r="30" spans="2:5" ht="18" customHeight="1" x14ac:dyDescent="0.3">
      <c r="B30" s="109" t="s">
        <v>304</v>
      </c>
      <c r="C30" s="110">
        <f>D15</f>
        <v>0.59</v>
      </c>
      <c r="D30" s="108"/>
      <c r="E30" s="105"/>
    </row>
    <row r="31" spans="2:5" ht="18" customHeight="1" x14ac:dyDescent="0.3">
      <c r="B31" s="109" t="s">
        <v>305</v>
      </c>
      <c r="C31" s="110">
        <f>D13</f>
        <v>5.3849999999999998</v>
      </c>
      <c r="D31" s="108"/>
      <c r="E31" s="105"/>
    </row>
    <row r="32" spans="2:5" ht="18" customHeight="1" x14ac:dyDescent="0.3">
      <c r="B32" s="111" t="s">
        <v>306</v>
      </c>
      <c r="C32" s="112">
        <f>(D16+D17+D18+D19)</f>
        <v>11.15</v>
      </c>
      <c r="D32" s="113"/>
      <c r="E32" s="105"/>
    </row>
    <row r="33" spans="2:5" ht="5.0999999999999996" customHeight="1" x14ac:dyDescent="0.3">
      <c r="B33" s="114"/>
      <c r="C33" s="115"/>
      <c r="D33" s="90"/>
      <c r="E33" s="116"/>
    </row>
    <row r="34" spans="2:5" ht="18" customHeight="1" x14ac:dyDescent="0.3">
      <c r="B34" s="299" t="s">
        <v>307</v>
      </c>
      <c r="C34" s="300"/>
      <c r="D34" s="117"/>
      <c r="E34" s="116"/>
    </row>
    <row r="35" spans="2:5" ht="18" customHeight="1" x14ac:dyDescent="0.3">
      <c r="B35" s="118"/>
      <c r="C35" s="119" t="s">
        <v>308</v>
      </c>
      <c r="D35" s="120">
        <f>ROUND((((((1+E14+E20)*(1+E15)*(1+E13))/(1-(E16+E17+E18+E19)))-1))*100,2)</f>
        <v>25</v>
      </c>
      <c r="E35" s="116"/>
    </row>
    <row r="36" spans="2:5" x14ac:dyDescent="0.2">
      <c r="B36" s="87"/>
      <c r="C36" s="88"/>
      <c r="D36" s="87"/>
    </row>
    <row r="37" spans="2:5" x14ac:dyDescent="0.2">
      <c r="B37" s="293" t="s">
        <v>334</v>
      </c>
      <c r="C37" s="293"/>
      <c r="D37" s="293"/>
    </row>
    <row r="38" spans="2:5" x14ac:dyDescent="0.2">
      <c r="B38" s="87"/>
      <c r="C38" s="88"/>
      <c r="D38" s="87"/>
    </row>
    <row r="39" spans="2:5" x14ac:dyDescent="0.2">
      <c r="B39" s="87"/>
      <c r="C39" s="88"/>
      <c r="D39" s="87"/>
    </row>
    <row r="40" spans="2:5" ht="15" customHeight="1" x14ac:dyDescent="0.2">
      <c r="B40" s="294" t="s">
        <v>148</v>
      </c>
      <c r="C40" s="294"/>
      <c r="D40" s="294"/>
    </row>
    <row r="41" spans="2:5" ht="15" customHeight="1" x14ac:dyDescent="0.2">
      <c r="B41" s="294" t="s">
        <v>150</v>
      </c>
      <c r="C41" s="294"/>
      <c r="D41" s="294"/>
    </row>
    <row r="42" spans="2:5" ht="15" customHeight="1" x14ac:dyDescent="0.2">
      <c r="B42" s="294" t="s">
        <v>152</v>
      </c>
      <c r="C42" s="294"/>
      <c r="D42" s="294"/>
    </row>
  </sheetData>
  <mergeCells count="22">
    <mergeCell ref="B37:D37"/>
    <mergeCell ref="B40:D40"/>
    <mergeCell ref="B41:D41"/>
    <mergeCell ref="B42:D42"/>
    <mergeCell ref="B17:C17"/>
    <mergeCell ref="B18:C18"/>
    <mergeCell ref="B19:C19"/>
    <mergeCell ref="B20:C20"/>
    <mergeCell ref="B22:D22"/>
    <mergeCell ref="B34:C34"/>
    <mergeCell ref="B16:C16"/>
    <mergeCell ref="B2:D2"/>
    <mergeCell ref="B3:D3"/>
    <mergeCell ref="B4:D4"/>
    <mergeCell ref="B5:D5"/>
    <mergeCell ref="B6:D6"/>
    <mergeCell ref="B7:D7"/>
    <mergeCell ref="B9:D9"/>
    <mergeCell ref="B11:C11"/>
    <mergeCell ref="B13:C13"/>
    <mergeCell ref="B14:C14"/>
    <mergeCell ref="B15:C15"/>
  </mergeCells>
  <printOptions horizontalCentered="1"/>
  <pageMargins left="0.39370078740157483" right="0.39370078740157483" top="0.59055118110236227" bottom="0.39370078740157483" header="0" footer="0"/>
  <pageSetup paperSize="9" scale="8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7</vt:i4>
      </vt:variant>
    </vt:vector>
  </HeadingPairs>
  <TitlesOfParts>
    <vt:vector size="12" baseType="lpstr">
      <vt:lpstr>Planilha Orçamentária</vt:lpstr>
      <vt:lpstr>Cronograma</vt:lpstr>
      <vt:lpstr>Memória de Cáculo</vt:lpstr>
      <vt:lpstr>Leis Sociais</vt:lpstr>
      <vt:lpstr>BDI</vt:lpstr>
      <vt:lpstr>BDI!Area_de_impressao</vt:lpstr>
      <vt:lpstr>Cronograma!Area_de_impressao</vt:lpstr>
      <vt:lpstr>'Leis Sociais'!Area_de_impressao</vt:lpstr>
      <vt:lpstr>'Memória de Cáculo'!Area_de_impressao</vt:lpstr>
      <vt:lpstr>'Planilha Orçamentária'!Area_de_impressao</vt:lpstr>
      <vt:lpstr>'Memória de Cáculo'!Titulos_de_impressao</vt:lpstr>
      <vt:lpstr>'Planilha Orçamentária'!Titulos_de_impressao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 - Eng. - Coord.</dc:creator>
  <cp:lastModifiedBy>CEAFO</cp:lastModifiedBy>
  <cp:lastPrinted>2022-05-20T19:16:03Z</cp:lastPrinted>
  <dcterms:created xsi:type="dcterms:W3CDTF">2020-01-13T13:34:20Z</dcterms:created>
  <dcterms:modified xsi:type="dcterms:W3CDTF">2022-08-26T13:19:35Z</dcterms:modified>
</cp:coreProperties>
</file>