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20" yWindow="1530" windowWidth="11280" windowHeight="6210" tabRatio="695" activeTab="5"/>
  </bookViews>
  <sheets>
    <sheet name="Orçamento" sheetId="1" r:id="rId1"/>
    <sheet name="Cronograma" sheetId="2" r:id="rId2"/>
    <sheet name="Memorial de Cálculo" sheetId="3" r:id="rId3"/>
    <sheet name="Composições de Custo" sheetId="4" r:id="rId4"/>
    <sheet name="BDI" sheetId="5" r:id="rId5"/>
    <sheet name="LEIS SOCIAIS" sheetId="6" r:id="rId6"/>
  </sheets>
  <definedNames>
    <definedName name="_xlnm.Print_Area" localSheetId="4">'BDI'!$B$3:$G$58</definedName>
    <definedName name="_xlnm.Print_Area" localSheetId="3">'Composições de Custo'!$B$2:$J$76</definedName>
    <definedName name="_xlnm.Print_Area" localSheetId="1">'Cronograma'!$B$2:$H$43</definedName>
    <definedName name="_xlnm.Print_Area" localSheetId="5">'LEIS SOCIAIS'!$B$2:$H$54</definedName>
    <definedName name="_xlnm.Print_Area" localSheetId="2">'Memorial de Cálculo'!$B$2:$L$390</definedName>
    <definedName name="_xlnm.Print_Area" localSheetId="0">'Orçamento'!$B$2:$L$115</definedName>
    <definedName name="_xlnm.Print_Titles" localSheetId="3">'Composições de Custo'!$2:$14</definedName>
    <definedName name="_xlnm.Print_Titles" localSheetId="2">'Memorial de Cálculo'!$14:$14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<sst xmlns="http://schemas.openxmlformats.org/spreadsheetml/2006/main" count="849" uniqueCount="472">
  <si>
    <t>m2</t>
  </si>
  <si>
    <t>unid.</t>
  </si>
  <si>
    <t>Item</t>
  </si>
  <si>
    <t>Discriminação</t>
  </si>
  <si>
    <t>Unidade</t>
  </si>
  <si>
    <t>Quantidade</t>
  </si>
  <si>
    <t>1.00</t>
  </si>
  <si>
    <t>SERVIÇOS PRELIMINARES</t>
  </si>
  <si>
    <t>5.00</t>
  </si>
  <si>
    <t>PAVIMENTAÇÃO</t>
  </si>
  <si>
    <t>PINTURA</t>
  </si>
  <si>
    <t>DIVERSOS</t>
  </si>
  <si>
    <t>Custo Unitário</t>
  </si>
  <si>
    <t>TOTAL</t>
  </si>
  <si>
    <t>ITEM</t>
  </si>
  <si>
    <t>DISCRIMINAÇÃO</t>
  </si>
  <si>
    <t>m3</t>
  </si>
  <si>
    <t>9.00</t>
  </si>
  <si>
    <t>% DO ITEM</t>
  </si>
  <si>
    <t>VALOR DO ITEM</t>
  </si>
  <si>
    <t>30 DIAS</t>
  </si>
  <si>
    <t>%</t>
  </si>
  <si>
    <t>VALOR</t>
  </si>
  <si>
    <t>TOTAL DO PERÍODO (R$)</t>
  </si>
  <si>
    <t>TOTAL DO PERÍODO (%)</t>
  </si>
  <si>
    <t>PLANILHA  ORÇAMENTÁRIA</t>
  </si>
  <si>
    <t>Placa da obra - 300 x 150</t>
  </si>
  <si>
    <t>m</t>
  </si>
  <si>
    <t>COORDENAÇÃO DE INFRA-ESTRUTURA EM SAÚDE</t>
  </si>
  <si>
    <t>% Serviço</t>
  </si>
  <si>
    <t>Limpeza da obra</t>
  </si>
  <si>
    <t>INSTALAÇÃO ELÉTRICA</t>
  </si>
  <si>
    <t>m²</t>
  </si>
  <si>
    <t>Referência</t>
  </si>
  <si>
    <t>Código</t>
  </si>
  <si>
    <t>SINAPI</t>
  </si>
  <si>
    <t>74209/001</t>
  </si>
  <si>
    <t>Preço Total</t>
  </si>
  <si>
    <t>Preço Total do Item</t>
  </si>
  <si>
    <t>SEINFRA</t>
  </si>
  <si>
    <t>GABINETE DO SECRETÁRIO</t>
  </si>
  <si>
    <t>NÚCLEO DE INFRA-ESTRUTURA EM SAÚDE - NIS</t>
  </si>
  <si>
    <t>UNID</t>
  </si>
  <si>
    <t>ORSE</t>
  </si>
  <si>
    <t>CRONOGRAMA FÍSICO-FINANCEIRO</t>
  </si>
  <si>
    <t>MEMORIAL DE CÁLCULO</t>
  </si>
  <si>
    <t>APLICAÇÃO</t>
  </si>
  <si>
    <t>LARGURA</t>
  </si>
  <si>
    <t>ALTURA</t>
  </si>
  <si>
    <t>AREA</t>
  </si>
  <si>
    <t>VOLUME</t>
  </si>
  <si>
    <t>5. PIS</t>
  </si>
  <si>
    <t>4. ISSQN</t>
  </si>
  <si>
    <t>Percentuais (%)</t>
  </si>
  <si>
    <t>Interno</t>
  </si>
  <si>
    <t>Externo</t>
  </si>
  <si>
    <t>73775/002</t>
  </si>
  <si>
    <t>2.00</t>
  </si>
  <si>
    <t>9.1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</si>
  <si>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</si>
  <si>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</si>
  <si>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</si>
  <si>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</si>
  <si>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</si>
  <si>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</si>
  <si>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</si>
  <si>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</si>
  <si>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</si>
  <si>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</si>
  <si>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</si>
  <si>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</si>
  <si>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</si>
  <si>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</si>
  <si>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>Preço Unitário Com BDI (%)</t>
  </si>
  <si>
    <t xml:space="preserve">TOTAL CONSTRUÇÃO </t>
  </si>
  <si>
    <t>13.00</t>
  </si>
  <si>
    <t>73775/001</t>
  </si>
  <si>
    <t>INSTALAÇÕES  HIDRO-SANITÁRIAS E ÁGUA PLUVIAL</t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</si>
  <si>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</si>
  <si>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Urbana</t>
    </r>
  </si>
  <si>
    <t>9.2</t>
  </si>
  <si>
    <t>COMPISIÇÕES DE CUSTO</t>
  </si>
  <si>
    <t>ENCARGOS SOCIAIS COM DESONERAÇÃO:</t>
  </si>
  <si>
    <t>Preço Adotado =</t>
  </si>
  <si>
    <t>Descrição</t>
  </si>
  <si>
    <t>Coeficiente</t>
  </si>
  <si>
    <t>Preço</t>
  </si>
  <si>
    <t>Total</t>
  </si>
  <si>
    <t>MAO DE OBRA</t>
  </si>
  <si>
    <t>TOTAL MAO DE OBRA</t>
  </si>
  <si>
    <t>MATERIAIS</t>
  </si>
  <si>
    <t>TOTAL MATERIAIS</t>
  </si>
  <si>
    <t>Total Simples</t>
  </si>
  <si>
    <t>Encargos</t>
  </si>
  <si>
    <t>TOTAL GERAL</t>
  </si>
  <si>
    <t>H</t>
  </si>
  <si>
    <t>UN</t>
  </si>
  <si>
    <t>88316/SINAPI</t>
  </si>
  <si>
    <t>COMP.</t>
  </si>
  <si>
    <t>COMPRI/PERÍMETRO</t>
  </si>
  <si>
    <t>QUANTIDADE</t>
  </si>
  <si>
    <t>10.2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</si>
  <si>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</si>
  <si>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</si>
  <si>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</si>
  <si>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</si>
  <si>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</si>
  <si>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</si>
  <si>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</si>
  <si>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</si>
  <si>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</si>
  <si>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</si>
  <si>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</si>
  <si>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</si>
  <si>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</si>
  <si>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</si>
  <si>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</si>
  <si>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</si>
  <si>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</si>
  <si>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</si>
  <si>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</si>
  <si>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</si>
  <si>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</si>
  <si>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</si>
  <si>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</si>
  <si>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</si>
  <si>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</si>
  <si>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</si>
  <si>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</si>
  <si>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</si>
  <si>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</si>
  <si>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</si>
  <si>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</si>
  <si>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</si>
  <si>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</si>
  <si>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</si>
  <si>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</si>
  <si>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</si>
  <si>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</si>
  <si>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</si>
  <si>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</si>
  <si>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</si>
  <si>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</si>
  <si>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</si>
  <si>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</si>
  <si>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</si>
  <si>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</si>
  <si>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</si>
  <si>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</si>
  <si>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</si>
  <si>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</si>
  <si>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</si>
  <si>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</si>
  <si>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</si>
  <si>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</si>
  <si>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</si>
  <si>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</si>
  <si>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</si>
  <si>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</si>
  <si>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</si>
  <si>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</si>
  <si>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</si>
  <si>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</si>
  <si>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</si>
  <si>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</si>
  <si>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</si>
  <si>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</si>
  <si>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</si>
  <si>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</si>
  <si>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</si>
  <si>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</si>
  <si>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SECRETARIA DE ESTADO DA SAÚDE</t>
  </si>
  <si>
    <t>GOVERNO DO ESTADO DO PIAUÍ</t>
  </si>
  <si>
    <t>88256/SINAPI</t>
  </si>
  <si>
    <t>MATERIAIS/SERVIÇOS</t>
  </si>
  <si>
    <t>PAREDES E PAINÉIS</t>
  </si>
  <si>
    <t>Rede de esgoto sanitário</t>
  </si>
  <si>
    <t>M</t>
  </si>
  <si>
    <t>Louças e metais</t>
  </si>
  <si>
    <t>Instalações de combate a incêndio</t>
  </si>
  <si>
    <t>Extintor incendio tp po quimico 4kg fornecimento e colocacao</t>
  </si>
  <si>
    <t>Extintor incendio agua-pressurizada 10l incl suporte parede carga
completa fornecimento e colocacao</t>
  </si>
  <si>
    <t>Caixa sifonada pvc 150x150x50mm com grelha redonda branca - fornecimentoe instalaçao</t>
  </si>
  <si>
    <t>Registro pressao 3/4" com canopla acabamento cromado - fornecimento einstalaço</t>
  </si>
  <si>
    <t>Registro gaveta 3/4" bruto latao - fornecimento e instalacao</t>
  </si>
  <si>
    <t>Vaso sanitario com caixa de descarga acoplada - louca branca</t>
  </si>
  <si>
    <t>Lavatorio louca branca suspenso 29,5 x 39,0cm, padrao popular, com sifaoplastico tipo copo 1", valvula em plastico branco 1" e conjunto para fixacao- fornecimento e instalacao</t>
  </si>
  <si>
    <t>Caixa de passagem 60x60x70 fundo brita com tampa</t>
  </si>
  <si>
    <t>Quadro telebrás de embutir de 600 x 600 x 120 mm</t>
  </si>
  <si>
    <t>Cabo de cobre de 2,5 mm², isolamento 750 v - isolação em pvc 70°C</t>
  </si>
  <si>
    <t>Cabo de cobre de 4,0 mm², isolamento 750 v - isolação em pvc 70°C</t>
  </si>
  <si>
    <t>411467</t>
  </si>
  <si>
    <t>74131/007</t>
  </si>
  <si>
    <t>Chapisco traco 1:3 (cimento e areia media), espessura 0,5cm, preparo manual da argamassa</t>
  </si>
  <si>
    <t>Chapisco traco 1:3 (cimento e areia media), espessura 0,5cm, preparo manualda argamassa</t>
  </si>
  <si>
    <t>Regularizacao de piso/base em argamassa traco 1:3 (cimento e areia), espessura 2,0cm, preparo manual</t>
  </si>
  <si>
    <t>12.1</t>
  </si>
  <si>
    <t>12.2</t>
  </si>
  <si>
    <t>12.3</t>
  </si>
  <si>
    <t>12.4</t>
  </si>
  <si>
    <t>12.5</t>
  </si>
  <si>
    <t>12.6</t>
  </si>
  <si>
    <t>C0073</t>
  </si>
  <si>
    <t xml:space="preserve">alvenaria de tijolo cerâmico furado (9x19x19)cm c/argamassa mista de cal hidratada esp.=9cm (1:2:8), junta 1cm </t>
  </si>
  <si>
    <t>C2086</t>
  </si>
  <si>
    <t>73860/008</t>
  </si>
  <si>
    <t>73860/009</t>
  </si>
  <si>
    <t>07592</t>
  </si>
  <si>
    <t>Vidro temperado incolor, espessura 10mm, fornecimento e instalacao</t>
  </si>
  <si>
    <t>Aplicação e lixamento de massa látex em paredes, duas demãos</t>
  </si>
  <si>
    <t>Aplicação de fundo selador látex PVA em teto, uma demão</t>
  </si>
  <si>
    <t>Aplicação e lixamento de massa látex em teto, duas demãos</t>
  </si>
  <si>
    <t>Aplicação manual de pintura com tinta látex PVA em teto, duas demãos</t>
  </si>
  <si>
    <t>Aplicação manual de pintura com tinta texturizada acrílica em paredes</t>
  </si>
  <si>
    <t>Forro de Gesso</t>
  </si>
  <si>
    <t>73986/001</t>
  </si>
  <si>
    <t>Reboco traco 1:2:8 (cimento, cal e areia media), espessura 2,0cm, preparo mecânico</t>
  </si>
  <si>
    <t>87792</t>
  </si>
  <si>
    <t>C2181</t>
  </si>
  <si>
    <t>1.1</t>
  </si>
  <si>
    <t>1.3</t>
  </si>
  <si>
    <t>2.1</t>
  </si>
  <si>
    <t>2.2</t>
  </si>
  <si>
    <t>2.3</t>
  </si>
  <si>
    <t>2.4</t>
  </si>
  <si>
    <t>2.6</t>
  </si>
  <si>
    <t>5.1</t>
  </si>
  <si>
    <t>ESQUADRIAS METÁLICAS</t>
  </si>
  <si>
    <t>7.3</t>
  </si>
  <si>
    <t>7.5</t>
  </si>
  <si>
    <t>Rede de água fria</t>
  </si>
  <si>
    <t>ENCANADOR COM ENCARGOS COMPLEMENTARES</t>
  </si>
  <si>
    <t>AJUDANTE DE ENCANADOR COM ENCARGOS COMPLEMENTARES</t>
  </si>
  <si>
    <t>10.00</t>
  </si>
  <si>
    <t>REVESTIMENTO DE PAREDES INTERNAS</t>
  </si>
  <si>
    <t>REVESTIMENTO DE PAREDES EXTERNAS</t>
  </si>
  <si>
    <t>11.00</t>
  </si>
  <si>
    <t>11.1</t>
  </si>
  <si>
    <t>11.2</t>
  </si>
  <si>
    <t>12.00</t>
  </si>
  <si>
    <t>13.1</t>
  </si>
  <si>
    <t>13.2</t>
  </si>
  <si>
    <t>VIDROS</t>
  </si>
  <si>
    <t>Unid: M</t>
  </si>
  <si>
    <t>ADESIVO PARA TUBOS PVC</t>
  </si>
  <si>
    <t>SOLUCAO LIMPADORA P/ PVC</t>
  </si>
  <si>
    <t>I20083/INSUMO</t>
  </si>
  <si>
    <t>I00122/SINAPI</t>
  </si>
  <si>
    <t>TUBO DE PVC "R" 75MMM</t>
  </si>
  <si>
    <t>I9839/SINAPI</t>
  </si>
  <si>
    <t>TUBO DE PVC "R" 75MM INCL CONEXOES - COL ESGOTO/ÁGUA PLUVIAL</t>
  </si>
  <si>
    <t>7.00</t>
  </si>
  <si>
    <t>m³</t>
  </si>
  <si>
    <t>Muro</t>
  </si>
  <si>
    <t>Circulação</t>
  </si>
  <si>
    <t>10.3</t>
  </si>
  <si>
    <t>Porta de correr</t>
  </si>
  <si>
    <t>C1967</t>
  </si>
  <si>
    <t>74065/002</t>
  </si>
  <si>
    <t>Pintura esmalte sintético para madeira, duas demãos, sobre fundo branco</t>
  </si>
  <si>
    <t xml:space="preserve">RETIRADAS E DEMOLIÇÕES </t>
  </si>
  <si>
    <t>Multiplicado por uma fotor de 1,30</t>
  </si>
  <si>
    <t>unid</t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</si>
  <si>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 Floriano-PI</t>
    </r>
  </si>
  <si>
    <t>Caixilho fixo, em alumínio cor branco, p/ visor</t>
  </si>
  <si>
    <t>Porta em alumínio, cor branco</t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</si>
  <si>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Reforma do Almoxarifado</t>
    </r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</si>
  <si>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Zona Norte</t>
    </r>
  </si>
  <si>
    <r>
      <rPr>
        <b/>
        <sz val="12"/>
        <rFont val="Arial"/>
        <family val="2"/>
      </rPr>
      <t xml:space="preserve">Município: </t>
    </r>
    <r>
      <rPr>
        <sz val="12"/>
        <rFont val="Arial"/>
        <family val="2"/>
      </rPr>
      <t>Teresina - PI</t>
    </r>
  </si>
  <si>
    <t>Data Base: Março de 2015/Com Desoneração</t>
  </si>
  <si>
    <t>Demolição de reboco</t>
  </si>
  <si>
    <t>Demolição de forro de gesso</t>
  </si>
  <si>
    <t>Demolição de piso cerâmico</t>
  </si>
  <si>
    <t>Demolição revestimento cerâmico</t>
  </si>
  <si>
    <t>2.5</t>
  </si>
  <si>
    <t>Retiradas de louça sanitária</t>
  </si>
  <si>
    <t>Retirada de fiação elétrica</t>
  </si>
  <si>
    <t>2.7</t>
  </si>
  <si>
    <t>2.8</t>
  </si>
  <si>
    <t>Placa da obra</t>
  </si>
  <si>
    <t>Capina e limpeza manual de terreno</t>
  </si>
  <si>
    <t>73822/001</t>
  </si>
  <si>
    <t>Terreno</t>
  </si>
  <si>
    <t>Ambiente 01</t>
  </si>
  <si>
    <t>Ambiente 02</t>
  </si>
  <si>
    <t>Ambiente 03</t>
  </si>
  <si>
    <t>Ambiente 04</t>
  </si>
  <si>
    <t>Ambiente 05</t>
  </si>
  <si>
    <t>Ambiente 06</t>
  </si>
  <si>
    <t>Ambiente 08</t>
  </si>
  <si>
    <t>Ambiente 09</t>
  </si>
  <si>
    <t>Retirada de pintura</t>
  </si>
  <si>
    <t>Retirada de esquadria metálica</t>
  </si>
  <si>
    <t>2.9</t>
  </si>
  <si>
    <t>Retirada de telha amianto</t>
  </si>
  <si>
    <t>2.10</t>
  </si>
  <si>
    <t>Guarita</t>
  </si>
  <si>
    <t>Bloco 01 (externo)</t>
  </si>
  <si>
    <t>Bloco 02 (externo)</t>
  </si>
  <si>
    <t>Telhamento com telha de alumínio dupla, trapezoidal, tipo sanduíche 0,6mm pré pintada em duas faces, com isolamento de espuma rígida de poliuretano 30mm pintada (termoacústica)</t>
  </si>
  <si>
    <t>09918</t>
  </si>
  <si>
    <t>3.00</t>
  </si>
  <si>
    <t>3.1</t>
  </si>
  <si>
    <t>3.2</t>
  </si>
  <si>
    <t>COBERTURA</t>
  </si>
  <si>
    <t>Retirada de luminária</t>
  </si>
  <si>
    <t>2.11</t>
  </si>
  <si>
    <t>Bota-fora</t>
  </si>
  <si>
    <t>2.12</t>
  </si>
  <si>
    <t>Banheiros</t>
  </si>
  <si>
    <t>Retirada madeiramento</t>
  </si>
  <si>
    <t>Guarita (basculante)</t>
  </si>
  <si>
    <t>Guarita (janelas)</t>
  </si>
  <si>
    <t>Guarita (portas)</t>
  </si>
  <si>
    <t>Fechamento do basculante</t>
  </si>
  <si>
    <t>C1064</t>
  </si>
  <si>
    <t>C1071</t>
  </si>
  <si>
    <t>Externa</t>
  </si>
  <si>
    <t>Ambiente 07</t>
  </si>
  <si>
    <t>Ambiente 07 a</t>
  </si>
  <si>
    <t>Ambiente 10</t>
  </si>
  <si>
    <t>Ambiente 11</t>
  </si>
  <si>
    <t>Ambiente 12</t>
  </si>
  <si>
    <t>Ambiente 13</t>
  </si>
  <si>
    <t>Ambiente 14</t>
  </si>
  <si>
    <t>Ambiente 15</t>
  </si>
  <si>
    <t>Ambiente 16</t>
  </si>
  <si>
    <t>Ambiente 17</t>
  </si>
  <si>
    <t>Ambiente 18</t>
  </si>
  <si>
    <t>Ambiente 19</t>
  </si>
  <si>
    <t>Ambiente 20</t>
  </si>
  <si>
    <t>Portão</t>
  </si>
  <si>
    <t>Janelas 1.00x0.50</t>
  </si>
  <si>
    <t>Janelas 1.50x0.50</t>
  </si>
  <si>
    <t>Janelas 2.00x1.50</t>
  </si>
  <si>
    <t>Visor</t>
  </si>
  <si>
    <t>Porta 0.7x2.10</t>
  </si>
  <si>
    <t>Porta 0.8x2.11</t>
  </si>
  <si>
    <t>Porta de enrolar</t>
  </si>
  <si>
    <t>Portão 0.7x2.10</t>
  </si>
  <si>
    <t>Janelas 0.8x2.11</t>
  </si>
  <si>
    <t>74255/003</t>
  </si>
  <si>
    <t>Estrutura de madeira para telhado (guarita)</t>
  </si>
  <si>
    <t>3.3</t>
  </si>
  <si>
    <t>Imunização para madeiramento do telhado</t>
  </si>
  <si>
    <t>01200</t>
  </si>
  <si>
    <t>Ponto de água fria embutido, c/material pvc rígido soldável Ø 25mm</t>
  </si>
  <si>
    <t>Chuveiro cromado c/ articulação</t>
  </si>
  <si>
    <t>4.00</t>
  </si>
  <si>
    <t>4.1</t>
  </si>
  <si>
    <t>5.2</t>
  </si>
  <si>
    <t>6.00</t>
  </si>
  <si>
    <t>6.1</t>
  </si>
  <si>
    <t>6.1.1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</si>
  <si>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</si>
  <si>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</si>
  <si>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</si>
  <si>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</si>
  <si>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</si>
  <si>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</si>
  <si>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</si>
  <si>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</si>
  <si>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</si>
  <si>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</si>
  <si>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</si>
  <si>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</si>
  <si>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6.4</t>
  </si>
  <si>
    <t>6.4.1</t>
  </si>
  <si>
    <t>6.4.2</t>
  </si>
  <si>
    <t>Torneira cromada tubo móvel</t>
  </si>
  <si>
    <t>Saboneteira de louça branca  (7.5x15) cm</t>
  </si>
  <si>
    <t>C2255</t>
  </si>
  <si>
    <t>6.3.8</t>
  </si>
  <si>
    <t>Porta-papel de louca branca (15x15)cm</t>
  </si>
  <si>
    <t>C1996</t>
  </si>
  <si>
    <t>Porta toalha de papel - metalico (instalado)</t>
  </si>
  <si>
    <t>C1997</t>
  </si>
  <si>
    <t>Porta sabão líquido de vidro (instalado)</t>
  </si>
  <si>
    <t>C1990</t>
  </si>
  <si>
    <t>74130/006</t>
  </si>
  <si>
    <t>Disjuntor termomagnético, tripolar 220/380 V, corrente de 125 a 150A</t>
  </si>
  <si>
    <t>Ponto de interruptor 01 seção (1 s) embutido com eletroduto de pvc rígido Ø 3/4"</t>
  </si>
  <si>
    <t>03275</t>
  </si>
  <si>
    <t>pt</t>
  </si>
  <si>
    <t>Ponto de interruptor 02 seções embutido, com eletroduto de pvc rígido roscável Ø 3/4"</t>
  </si>
  <si>
    <t>03282</t>
  </si>
  <si>
    <t>7.2</t>
  </si>
  <si>
    <t>7.4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</si>
  <si>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</si>
  <si>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</si>
  <si>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</si>
  <si>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</si>
  <si>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</si>
  <si>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</si>
  <si>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</si>
  <si>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</si>
  <si>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</si>
  <si>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</si>
  <si>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</si>
  <si>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</si>
  <si>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</si>
  <si>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Ponto de interruptor 03 seções embutido, com eletroduto de pvc rígido roscável Ø 3/4"</t>
  </si>
  <si>
    <t>03286</t>
  </si>
  <si>
    <t>Luminaria tipo calha, de sobrepor, com reator de partida rapida e lampada fluorescente 2x20w, completa, fornecimento e instalacao</t>
  </si>
  <si>
    <t>73953/002</t>
  </si>
  <si>
    <t>Luminaria tipo calha, de sobrepor, com reator de partida rapida e lampada fluorescente 2x40w, completa, fornecimento e instalacao</t>
  </si>
  <si>
    <t>8.00</t>
  </si>
  <si>
    <t>8.1</t>
  </si>
  <si>
    <t>8.2</t>
  </si>
  <si>
    <t>10.1</t>
  </si>
  <si>
    <t>Entrada de energia elétrica com pontalete de aço galvanizado d=1 1/2", fixado no telhado</t>
  </si>
  <si>
    <t>09193</t>
  </si>
  <si>
    <t xml:space="preserve">ARANDELA DE USO EXTERNO </t>
  </si>
  <si>
    <t>Unid</t>
  </si>
  <si>
    <t>88264/SINAPI</t>
  </si>
  <si>
    <t>ELETRICISTA COM ENCARGOS COMPLEMENTARES</t>
  </si>
  <si>
    <t>88247/SINAPI</t>
  </si>
  <si>
    <t>AUXILIAR DE ELETRICISTA COM ENCARGOS COMPLEMENTARES</t>
  </si>
  <si>
    <t>I1374/SEINFRA</t>
  </si>
  <si>
    <t>LUMINARIA PAREDE, TIPO ARANDELA</t>
  </si>
  <si>
    <t>I1466/SEINFRA</t>
  </si>
  <si>
    <t>LÂMPADA FLUORESCENTE PL - 15W</t>
  </si>
  <si>
    <t>Arandela de uso externo</t>
  </si>
  <si>
    <t>I12266/SINAPI</t>
  </si>
  <si>
    <t>LUMINARIA PHILLIPS TIPO SPOT</t>
  </si>
  <si>
    <t>I1468/SEINFRA</t>
  </si>
  <si>
    <t>LÂMPADA FLURESCENTE PL - 18W</t>
  </si>
  <si>
    <t>I21127/SINAPI</t>
  </si>
  <si>
    <t>FITA ISOLANTE ADESIVA ANTI-CHAMA EM ROLOS 19MM X 5M</t>
  </si>
  <si>
    <t>LUMINÁRIA TIPO SPOT COM  1 LÂMPADA FLUORESCENTE PL 18 W</t>
  </si>
  <si>
    <t>Luminária tipo spot com  1 lâmpada fluorescente Pl 18 w</t>
  </si>
  <si>
    <t>Quadro de distribuicao de energia de embutir, em chapa metalica, para 12 disjuntores termomagneticos monopolares, com barramento trifasico e neutro, fornecimento e instalacao</t>
  </si>
  <si>
    <t>74130/001</t>
  </si>
  <si>
    <t>Disjuntor termomagnetico monopolar padrao nema (americano) 10 a 30a 220v, fornecimento e instalacao</t>
  </si>
  <si>
    <t>Ponto de tomada 2p+t, ABNT, de embutir, 10 A, com eletroduto de pvc rígido embutido Ø 3/4", fio rigido 2,5mm² inclusive placa em pvc e aterramento</t>
  </si>
  <si>
    <t>03297</t>
  </si>
  <si>
    <t>Ponto para split , com eletroduto de pvc rígido embutido Ø 3/4", incluindo conjunto astop/30a-220v, inclusive aterramento</t>
  </si>
  <si>
    <t>pt.</t>
  </si>
  <si>
    <t>03292</t>
  </si>
  <si>
    <t>Haste copperweld 5/8 x 3,0m com conector</t>
  </si>
  <si>
    <t>00017</t>
  </si>
  <si>
    <t>C4432</t>
  </si>
  <si>
    <t>Revestimento com cerâmica PEI 4, tipo A na cor branca , rejuntada com espessura máxima de 2mm</t>
  </si>
  <si>
    <t>C4439</t>
  </si>
  <si>
    <t>8.3</t>
  </si>
  <si>
    <t>12.7</t>
  </si>
  <si>
    <t>12.8</t>
  </si>
  <si>
    <t>12.9</t>
  </si>
  <si>
    <t>Vidro liso comum transparente, espessura 4mm</t>
  </si>
  <si>
    <t>Aplicação manual de pintura com tinta látex pva em paredes, duas demão</t>
  </si>
  <si>
    <t>Aplicação de fundo selador látex pva em paredes, uma demão</t>
  </si>
  <si>
    <t>Pintura esmalte brilhante (2 demãos) sobre superfície metálica, inclusive proteção com zarcão (1 demão)</t>
  </si>
  <si>
    <t>Galpão 01</t>
  </si>
  <si>
    <t>Galpão 02</t>
  </si>
  <si>
    <t xml:space="preserve">Execução de passeio (calçada) em concreto 12 mpa, traço 1:3:5 (cimento /areia/brita), preparo mecânico, espessura 7cm, com junta de dilatação em madeira, incluso lançamento e adensamento
</t>
  </si>
  <si>
    <t>73892/002</t>
  </si>
  <si>
    <t>Corno dos galpões</t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</si>
  <si>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 Reforma do Almoxarifado</t>
    </r>
  </si>
  <si>
    <r>
      <t>Endereço:</t>
    </r>
    <r>
      <rPr>
        <sz val="14"/>
        <rFont val="Arial"/>
        <family val="2"/>
      </rPr>
      <t xml:space="preserve">  Zona Norte</t>
    </r>
  </si>
  <si>
    <r>
      <rPr>
        <b/>
        <sz val="14"/>
        <color indexed="8"/>
        <rFont val="Arial"/>
        <family val="2"/>
      </rPr>
      <t xml:space="preserve">Município: </t>
    </r>
    <r>
      <rPr>
        <sz val="14"/>
        <color indexed="8"/>
        <rFont val="Arial"/>
        <family val="2"/>
      </rPr>
      <t>Teresina - PI</t>
    </r>
  </si>
  <si>
    <r>
      <rPr>
        <b/>
        <sz val="11"/>
        <rFont val="Arial"/>
        <family val="2"/>
      </rPr>
      <t xml:space="preserve">Obra: </t>
    </r>
    <r>
      <rPr>
        <sz val="11"/>
        <rFont val="Arial"/>
        <family val="2"/>
      </rPr>
      <t>Reforma do Almoxarifado</t>
    </r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</si>
  <si>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Norte</t>
    </r>
  </si>
  <si>
    <r>
      <rPr>
        <b/>
        <sz val="11"/>
        <color indexed="8"/>
        <rFont val="Arial"/>
        <family val="2"/>
      </rPr>
      <t>Município:</t>
    </r>
    <r>
      <rPr>
        <sz val="11"/>
        <color indexed="8"/>
        <rFont val="Arial"/>
        <family val="2"/>
      </rPr>
      <t xml:space="preserve"> Teresina - PI</t>
    </r>
  </si>
  <si>
    <t>Importa o presente orçamento a quantia de R$ 100.865,07 (Cem mil, Oitocentos e Sessenta e Cinco Reais e Sete centavos), referente a Reforma do Almoxarifado.</t>
  </si>
  <si>
    <t>Teresina (PI), 07de Maio de 2015</t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</si>
  <si>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Reforma do Almoxarifado</t>
    </r>
  </si>
  <si>
    <r>
      <t xml:space="preserve">Município: </t>
    </r>
    <r>
      <rPr>
        <sz val="10"/>
        <rFont val="Arial"/>
        <family val="2"/>
      </rPr>
      <t>Teresina - PI</t>
    </r>
  </si>
  <si>
    <t>Março de 2015/Com Desoneração</t>
  </si>
  <si>
    <t>Março de 2015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</si>
  <si>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Zona Norte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</si>
  <si>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 Reforma do Almoxarifado</t>
    </r>
  </si>
  <si>
    <r>
      <t>Município: Teresina</t>
    </r>
    <r>
      <rPr>
        <sz val="10"/>
        <rFont val="Arial"/>
        <family val="2"/>
      </rPr>
      <t xml:space="preserve"> - PI</t>
    </r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</si>
</sst>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0.00000"/>
    <numFmt numFmtId="192" formatCode="[$-416]dddd\,\ d&quot; de &quot;mmmm&quot; de &quot;yyyy"/>
    <numFmt numFmtId="193" formatCode="0.0%"/>
    <numFmt numFmtId="194" formatCode="0.000000"/>
    <numFmt numFmtId="195" formatCode="@&quot; - PI&quot;"/>
    <numFmt numFmtId="196" formatCode="0\.00"/>
    <numFmt numFmtId="197" formatCode="00000000"/>
    <numFmt numFmtId="198" formatCode="00000000.0"/>
    <numFmt numFmtId="199" formatCode="00000000.00"/>
    <numFmt numFmtId="200" formatCode="_(* #,##0.0_);_(* \(#,##0.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sz val="25"/>
      <color indexed="8"/>
      <name val="Arial Narrow"/>
      <family val="0"/>
    </font>
    <font>
      <b/>
      <sz val="18"/>
      <color indexed="8"/>
      <name val="Arial Narrow"/>
      <family val="0"/>
    </font>
    <font>
      <b/>
      <sz val="22"/>
      <color indexed="8"/>
      <name val="Arial Narrow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00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4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24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4" fontId="3" fillId="0" borderId="0" xfId="311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311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3" fillId="33" borderId="0" xfId="296" applyFont="1" applyFill="1" applyBorder="1" applyAlignment="1">
      <alignment/>
      <protection/>
    </xf>
    <xf numFmtId="4" fontId="3" fillId="34" borderId="0" xfId="311" applyNumberFormat="1" applyFont="1" applyFill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1" fontId="6" fillId="0" borderId="0" xfId="444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311" applyNumberFormat="1" applyFont="1" applyFill="1" applyBorder="1" applyAlignment="1">
      <alignment horizontal="right" vertical="center" wrapText="1"/>
    </xf>
    <xf numFmtId="10" fontId="3" fillId="34" borderId="0" xfId="0" applyNumberFormat="1" applyFont="1" applyFill="1" applyBorder="1" applyAlignment="1">
      <alignment horizontal="center" vertical="center" wrapText="1"/>
    </xf>
    <xf numFmtId="0" fontId="3" fillId="34" borderId="0" xfId="296" applyFont="1" applyFill="1" applyBorder="1" applyAlignment="1">
      <alignment vertical="center"/>
      <protection/>
    </xf>
    <xf numFmtId="0" fontId="3" fillId="34" borderId="0" xfId="296" applyFont="1" applyFill="1" applyBorder="1" applyAlignment="1">
      <alignment horizontal="center" vertical="center"/>
      <protection/>
    </xf>
    <xf numFmtId="0" fontId="9" fillId="34" borderId="0" xfId="296" applyFont="1" applyFill="1" applyAlignment="1">
      <alignment vertical="center"/>
      <protection/>
    </xf>
    <xf numFmtId="171" fontId="9" fillId="34" borderId="0" xfId="433" applyFont="1" applyFill="1" applyAlignment="1">
      <alignment vertical="center"/>
    </xf>
    <xf numFmtId="0" fontId="10" fillId="34" borderId="0" xfId="296" applyFont="1" applyFill="1">
      <alignment/>
      <protection/>
    </xf>
    <xf numFmtId="171" fontId="10" fillId="34" borderId="0" xfId="433" applyFont="1" applyFill="1" applyAlignment="1">
      <alignment/>
    </xf>
    <xf numFmtId="0" fontId="3" fillId="34" borderId="0" xfId="299" applyFont="1" applyFill="1" applyAlignment="1">
      <alignment horizontal="center" vertical="center" wrapText="1"/>
      <protection/>
    </xf>
    <xf numFmtId="171" fontId="3" fillId="34" borderId="0" xfId="322" applyFont="1" applyFill="1" applyAlignment="1">
      <alignment vertical="center" wrapText="1"/>
    </xf>
    <xf numFmtId="0" fontId="3" fillId="34" borderId="0" xfId="299" applyFont="1" applyFill="1" applyAlignment="1">
      <alignment vertical="center" wrapText="1"/>
      <protection/>
    </xf>
    <xf numFmtId="171" fontId="3" fillId="34" borderId="0" xfId="322" applyNumberFormat="1" applyFont="1" applyFill="1" applyAlignment="1">
      <alignment vertical="center" wrapText="1"/>
    </xf>
    <xf numFmtId="0" fontId="3" fillId="34" borderId="0" xfId="299" applyFont="1" applyFill="1" applyBorder="1" applyAlignment="1">
      <alignment horizontal="left" vertical="center" wrapText="1"/>
      <protection/>
    </xf>
    <xf numFmtId="0" fontId="9" fillId="34" borderId="0" xfId="296" applyFont="1" applyFill="1">
      <alignment/>
      <protection/>
    </xf>
    <xf numFmtId="171" fontId="9" fillId="34" borderId="0" xfId="433" applyFont="1" applyFill="1" applyAlignment="1">
      <alignment/>
    </xf>
    <xf numFmtId="0" fontId="2" fillId="34" borderId="0" xfId="299" applyFont="1" applyFill="1" applyBorder="1" applyAlignment="1">
      <alignment horizontal="left" vertical="center"/>
      <protection/>
    </xf>
    <xf numFmtId="171" fontId="9" fillId="34" borderId="0" xfId="433" applyFont="1" applyFill="1" applyAlignment="1">
      <alignment horizontal="left"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44" fillId="0" borderId="0" xfId="0" applyNumberFormat="1" applyFont="1" applyFill="1" applyBorder="1" applyAlignment="1">
      <alignment vertical="center" wrapText="1"/>
    </xf>
    <xf numFmtId="172" fontId="45" fillId="0" borderId="0" xfId="52" applyNumberFormat="1" applyFont="1" applyFill="1" applyBorder="1" applyAlignment="1">
      <alignment vertical="center" wrapText="1"/>
      <protection/>
    </xf>
    <xf numFmtId="0" fontId="79" fillId="0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171" fontId="21" fillId="34" borderId="0" xfId="309" applyFont="1" applyFill="1" applyBorder="1" applyAlignment="1">
      <alignment horizontal="center" vertical="center" wrapText="1"/>
    </xf>
    <xf numFmtId="171" fontId="21" fillId="34" borderId="0" xfId="309" applyFont="1" applyFill="1" applyBorder="1" applyAlignment="1">
      <alignment horizontal="center" vertical="center"/>
    </xf>
    <xf numFmtId="171" fontId="21" fillId="35" borderId="15" xfId="309" applyFont="1" applyFill="1" applyBorder="1" applyAlignment="1">
      <alignment horizontal="center" vertical="center" wrapText="1"/>
    </xf>
    <xf numFmtId="171" fontId="21" fillId="35" borderId="16" xfId="309" applyFont="1" applyFill="1" applyBorder="1" applyAlignment="1">
      <alignment horizontal="left" vertical="center" wrapText="1"/>
    </xf>
    <xf numFmtId="171" fontId="21" fillId="35" borderId="16" xfId="309" applyFont="1" applyFill="1" applyBorder="1" applyAlignment="1">
      <alignment horizontal="center" vertical="center" wrapText="1"/>
    </xf>
    <xf numFmtId="171" fontId="21" fillId="35" borderId="16" xfId="309" applyFont="1" applyFill="1" applyBorder="1" applyAlignment="1">
      <alignment horizontal="center" vertical="center"/>
    </xf>
    <xf numFmtId="171" fontId="21" fillId="35" borderId="17" xfId="309" applyFont="1" applyFill="1" applyBorder="1" applyAlignment="1">
      <alignment horizontal="center" vertical="center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/>
    </xf>
    <xf numFmtId="2" fontId="81" fillId="0" borderId="19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/>
    </xf>
    <xf numFmtId="2" fontId="81" fillId="0" borderId="14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2" fontId="80" fillId="0" borderId="20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" fontId="80" fillId="0" borderId="19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1" fillId="0" borderId="0" xfId="0" applyFont="1" applyBorder="1" applyAlignment="1">
      <alignment/>
    </xf>
    <xf numFmtId="171" fontId="21" fillId="35" borderId="10" xfId="309" applyFont="1" applyFill="1" applyBorder="1" applyAlignment="1">
      <alignment horizontal="center" vertical="center" wrapText="1"/>
    </xf>
    <xf numFmtId="171" fontId="21" fillId="35" borderId="11" xfId="309" applyFont="1" applyFill="1" applyBorder="1" applyAlignment="1">
      <alignment horizontal="left" vertical="center" wrapText="1"/>
    </xf>
    <xf numFmtId="171" fontId="21" fillId="35" borderId="11" xfId="309" applyFont="1" applyFill="1" applyBorder="1" applyAlignment="1">
      <alignment horizontal="center" vertical="center" wrapText="1"/>
    </xf>
    <xf numFmtId="171" fontId="21" fillId="35" borderId="11" xfId="309" applyFont="1" applyFill="1" applyBorder="1" applyAlignment="1">
      <alignment horizontal="center" vertical="center"/>
    </xf>
    <xf numFmtId="171" fontId="21" fillId="35" borderId="18" xfId="309" applyFont="1" applyFill="1" applyBorder="1" applyAlignment="1">
      <alignment horizontal="center" vertical="center"/>
    </xf>
    <xf numFmtId="171" fontId="20" fillId="0" borderId="10" xfId="309" applyFont="1" applyFill="1" applyBorder="1" applyAlignment="1">
      <alignment horizontal="center" vertical="center" wrapText="1"/>
    </xf>
    <xf numFmtId="171" fontId="20" fillId="0" borderId="11" xfId="309" applyFont="1" applyFill="1" applyBorder="1" applyAlignment="1">
      <alignment horizontal="left" vertical="center" wrapText="1"/>
    </xf>
    <xf numFmtId="171" fontId="21" fillId="0" borderId="11" xfId="309" applyFont="1" applyFill="1" applyBorder="1" applyAlignment="1">
      <alignment horizontal="center" vertical="center" wrapText="1"/>
    </xf>
    <xf numFmtId="171" fontId="21" fillId="0" borderId="11" xfId="309" applyFont="1" applyFill="1" applyBorder="1" applyAlignment="1">
      <alignment horizontal="center" vertical="center"/>
    </xf>
    <xf numFmtId="171" fontId="21" fillId="0" borderId="18" xfId="309" applyFont="1" applyFill="1" applyBorder="1" applyAlignment="1">
      <alignment horizontal="center" vertical="center"/>
    </xf>
    <xf numFmtId="171" fontId="20" fillId="0" borderId="14" xfId="309" applyFont="1" applyFill="1" applyBorder="1" applyAlignment="1">
      <alignment horizontal="left" vertical="center" wrapText="1"/>
    </xf>
    <xf numFmtId="171" fontId="21" fillId="0" borderId="14" xfId="309" applyFont="1" applyFill="1" applyBorder="1" applyAlignment="1">
      <alignment horizontal="center" vertical="center"/>
    </xf>
    <xf numFmtId="171" fontId="20" fillId="0" borderId="13" xfId="309" applyFont="1" applyFill="1" applyBorder="1" applyAlignment="1">
      <alignment horizontal="center" vertical="center" wrapText="1"/>
    </xf>
    <xf numFmtId="171" fontId="21" fillId="0" borderId="14" xfId="309" applyFont="1" applyFill="1" applyBorder="1" applyAlignment="1">
      <alignment horizontal="left" vertical="center" wrapText="1"/>
    </xf>
    <xf numFmtId="2" fontId="81" fillId="0" borderId="0" xfId="0" applyNumberFormat="1" applyFont="1" applyFill="1" applyBorder="1" applyAlignment="1">
      <alignment horizontal="center" vertical="center"/>
    </xf>
    <xf numFmtId="171" fontId="21" fillId="0" borderId="14" xfId="309" applyFont="1" applyFill="1" applyBorder="1" applyAlignment="1">
      <alignment horizontal="center" vertical="center" wrapText="1"/>
    </xf>
    <xf numFmtId="171" fontId="20" fillId="0" borderId="0" xfId="309" applyFont="1" applyFill="1" applyBorder="1" applyAlignment="1">
      <alignment horizontal="left" vertical="center" wrapText="1"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2" fontId="81" fillId="0" borderId="0" xfId="0" applyNumberFormat="1" applyFont="1" applyBorder="1" applyAlignment="1">
      <alignment horizontal="left" vertical="center"/>
    </xf>
    <xf numFmtId="171" fontId="20" fillId="0" borderId="12" xfId="309" applyFont="1" applyFill="1" applyBorder="1" applyAlignment="1">
      <alignment horizontal="center" vertical="center" wrapText="1"/>
    </xf>
    <xf numFmtId="171" fontId="21" fillId="0" borderId="0" xfId="309" applyFont="1" applyFill="1" applyBorder="1" applyAlignment="1">
      <alignment horizontal="center" vertical="center"/>
    </xf>
    <xf numFmtId="171" fontId="21" fillId="0" borderId="0" xfId="309" applyFont="1" applyFill="1" applyBorder="1" applyAlignment="1">
      <alignment horizontal="left" vertical="center" wrapText="1"/>
    </xf>
    <xf numFmtId="171" fontId="21" fillId="0" borderId="12" xfId="309" applyFont="1" applyFill="1" applyBorder="1" applyAlignment="1">
      <alignment horizontal="center" vertical="center" wrapText="1"/>
    </xf>
    <xf numFmtId="171" fontId="20" fillId="0" borderId="0" xfId="309" applyFont="1" applyFill="1" applyBorder="1" applyAlignment="1">
      <alignment vertical="center" wrapText="1"/>
    </xf>
    <xf numFmtId="2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14" xfId="0" applyFont="1" applyBorder="1" applyAlignment="1">
      <alignment horizontal="center"/>
    </xf>
    <xf numFmtId="2" fontId="81" fillId="0" borderId="14" xfId="0" applyNumberFormat="1" applyFont="1" applyBorder="1" applyAlignment="1">
      <alignment horizontal="center"/>
    </xf>
    <xf numFmtId="2" fontId="81" fillId="0" borderId="11" xfId="0" applyNumberFormat="1" applyFont="1" applyBorder="1" applyAlignment="1">
      <alignment horizontal="center"/>
    </xf>
    <xf numFmtId="171" fontId="21" fillId="0" borderId="13" xfId="309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4" fontId="82" fillId="36" borderId="21" xfId="0" applyNumberFormat="1" applyFont="1" applyFill="1" applyBorder="1" applyAlignment="1">
      <alignment horizontal="right" vertical="top" wrapText="1"/>
    </xf>
    <xf numFmtId="0" fontId="83" fillId="34" borderId="0" xfId="0" applyFont="1" applyFill="1" applyBorder="1" applyAlignment="1">
      <alignment vertical="top" wrapText="1"/>
    </xf>
    <xf numFmtId="2" fontId="83" fillId="34" borderId="0" xfId="0" applyNumberFormat="1" applyFont="1" applyFill="1" applyBorder="1" applyAlignment="1">
      <alignment horizontal="center" vertical="top" wrapText="1"/>
    </xf>
    <xf numFmtId="184" fontId="82" fillId="36" borderId="0" xfId="0" applyNumberFormat="1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vertical="top" wrapText="1"/>
    </xf>
    <xf numFmtId="2" fontId="82" fillId="34" borderId="0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justify"/>
    </xf>
    <xf numFmtId="0" fontId="79" fillId="34" borderId="0" xfId="0" applyFont="1" applyFill="1" applyBorder="1" applyAlignment="1">
      <alignment horizontal="right"/>
    </xf>
    <xf numFmtId="2" fontId="79" fillId="34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172" fontId="8" fillId="0" borderId="0" xfId="51" applyNumberFormat="1" applyFont="1" applyFill="1" applyBorder="1" applyAlignment="1">
      <alignment vertical="center" wrapText="1"/>
      <protection/>
    </xf>
    <xf numFmtId="172" fontId="12" fillId="0" borderId="0" xfId="51" applyNumberFormat="1" applyFont="1" applyFill="1" applyBorder="1" applyAlignment="1">
      <alignment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10" fontId="3" fillId="0" borderId="0" xfId="51" applyNumberFormat="1" applyFont="1" applyFill="1" applyBorder="1" applyAlignment="1">
      <alignment horizontal="center" vertical="center" wrapText="1"/>
      <protection/>
    </xf>
    <xf numFmtId="172" fontId="12" fillId="37" borderId="0" xfId="51" applyNumberFormat="1" applyFont="1" applyFill="1" applyBorder="1" applyAlignment="1">
      <alignment vertical="center" wrapText="1"/>
      <protection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5" borderId="22" xfId="0" applyFill="1" applyBorder="1" applyAlignment="1">
      <alignment/>
    </xf>
    <xf numFmtId="2" fontId="79" fillId="35" borderId="23" xfId="0" applyNumberFormat="1" applyFont="1" applyFill="1" applyBorder="1" applyAlignment="1">
      <alignment horizontal="right"/>
    </xf>
    <xf numFmtId="2" fontId="79" fillId="35" borderId="23" xfId="0" applyNumberFormat="1" applyFont="1" applyFill="1" applyBorder="1" applyAlignment="1">
      <alignment horizontal="lef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8" fillId="0" borderId="25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26" xfId="0" applyFont="1" applyBorder="1" applyAlignment="1">
      <alignment/>
    </xf>
    <xf numFmtId="43" fontId="0" fillId="0" borderId="0" xfId="0" applyNumberFormat="1" applyAlignment="1">
      <alignment/>
    </xf>
    <xf numFmtId="0" fontId="81" fillId="0" borderId="11" xfId="0" applyFont="1" applyFill="1" applyBorder="1" applyAlignment="1">
      <alignment horizontal="center" vertical="center"/>
    </xf>
    <xf numFmtId="171" fontId="21" fillId="0" borderId="0" xfId="309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3" fillId="34" borderId="21" xfId="0" applyNumberFormat="1" applyFont="1" applyFill="1" applyBorder="1" applyAlignment="1" quotePrefix="1">
      <alignment horizontal="center" vertical="center" wrapText="1"/>
    </xf>
    <xf numFmtId="4" fontId="23" fillId="34" borderId="27" xfId="0" applyNumberFormat="1" applyFont="1" applyFill="1" applyBorder="1" applyAlignment="1">
      <alignment horizontal="right" vertical="center"/>
    </xf>
    <xf numFmtId="0" fontId="23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right" vertical="center"/>
    </xf>
    <xf numFmtId="4" fontId="8" fillId="34" borderId="21" xfId="307" applyNumberFormat="1" applyFont="1" applyFill="1" applyBorder="1" applyAlignment="1">
      <alignment horizontal="right" vertical="center"/>
    </xf>
    <xf numFmtId="10" fontId="22" fillId="34" borderId="21" xfId="0" applyNumberFormat="1" applyFont="1" applyFill="1" applyBorder="1" applyAlignment="1">
      <alignment horizontal="center" vertical="center"/>
    </xf>
    <xf numFmtId="4" fontId="23" fillId="34" borderId="21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71" fontId="8" fillId="0" borderId="21" xfId="307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/>
    </xf>
    <xf numFmtId="43" fontId="14" fillId="0" borderId="21" xfId="307" applyNumberFormat="1" applyFont="1" applyFill="1" applyBorder="1" applyAlignment="1">
      <alignment horizontal="left" vertical="center"/>
    </xf>
    <xf numFmtId="10" fontId="14" fillId="0" borderId="21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 quotePrefix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22" fillId="34" borderId="17" xfId="0" applyNumberFormat="1" applyFont="1" applyFill="1" applyBorder="1" applyAlignment="1">
      <alignment horizontal="center" vertical="center"/>
    </xf>
    <xf numFmtId="4" fontId="8" fillId="34" borderId="27" xfId="307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307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vertical="center"/>
    </xf>
    <xf numFmtId="0" fontId="23" fillId="34" borderId="27" xfId="0" applyNumberFormat="1" applyFont="1" applyFill="1" applyBorder="1" applyAlignment="1" quotePrefix="1">
      <alignment horizontal="center" vertical="center" wrapText="1"/>
    </xf>
    <xf numFmtId="0" fontId="23" fillId="34" borderId="27" xfId="0" applyNumberFormat="1" applyFont="1" applyFill="1" applyBorder="1" applyAlignment="1">
      <alignment horizontal="center" vertical="center" wrapText="1"/>
    </xf>
    <xf numFmtId="0" fontId="8" fillId="34" borderId="21" xfId="434" applyNumberFormat="1" applyFont="1" applyFill="1" applyBorder="1" applyAlignment="1">
      <alignment horizontal="left" vertical="center" wrapText="1"/>
    </xf>
    <xf numFmtId="0" fontId="8" fillId="0" borderId="21" xfId="434" applyNumberFormat="1" applyFont="1" applyFill="1" applyBorder="1" applyAlignment="1">
      <alignment horizontal="center" vertical="center" wrapText="1"/>
    </xf>
    <xf numFmtId="0" fontId="8" fillId="34" borderId="21" xfId="434" applyNumberFormat="1" applyFont="1" applyFill="1" applyBorder="1" applyAlignment="1">
      <alignment horizontal="center" vertical="center" wrapText="1"/>
    </xf>
    <xf numFmtId="171" fontId="8" fillId="34" borderId="21" xfId="307" applyFont="1" applyFill="1" applyBorder="1" applyAlignment="1">
      <alignment vertical="center"/>
    </xf>
    <xf numFmtId="4" fontId="22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307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4" borderId="11" xfId="307" applyNumberFormat="1" applyFont="1" applyFill="1" applyBorder="1" applyAlignment="1">
      <alignment horizontal="right" vertical="center"/>
    </xf>
    <xf numFmtId="4" fontId="8" fillId="0" borderId="11" xfId="307" applyNumberFormat="1" applyFont="1" applyFill="1" applyBorder="1" applyAlignment="1">
      <alignment horizontal="right" vertical="center"/>
    </xf>
    <xf numFmtId="4" fontId="8" fillId="0" borderId="16" xfId="307" applyNumberFormat="1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0" xfId="307" applyNumberFormat="1" applyFont="1" applyFill="1" applyBorder="1" applyAlignment="1">
      <alignment horizontal="right" vertical="center"/>
    </xf>
    <xf numFmtId="4" fontId="14" fillId="34" borderId="0" xfId="307" applyNumberFormat="1" applyFont="1" applyFill="1" applyBorder="1" applyAlignment="1">
      <alignment horizontal="right" vertical="center"/>
    </xf>
    <xf numFmtId="10" fontId="14" fillId="3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34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71" fontId="21" fillId="0" borderId="19" xfId="309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 wrapText="1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20" xfId="0" applyNumberFormat="1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/>
    </xf>
    <xf numFmtId="171" fontId="20" fillId="0" borderId="10" xfId="309" applyFont="1" applyFill="1" applyBorder="1" applyAlignment="1">
      <alignment horizontal="left" vertic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171" fontId="20" fillId="0" borderId="12" xfId="309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172" fontId="3" fillId="0" borderId="17" xfId="52" applyNumberFormat="1" applyFont="1" applyFill="1" applyBorder="1" applyAlignment="1">
      <alignment vertical="center" wrapText="1"/>
      <protection/>
    </xf>
    <xf numFmtId="172" fontId="3" fillId="34" borderId="0" xfId="52" applyNumberFormat="1" applyFont="1" applyFill="1" applyBorder="1" applyAlignment="1">
      <alignment horizontal="left" vertical="center" wrapText="1"/>
      <protection/>
    </xf>
    <xf numFmtId="172" fontId="14" fillId="34" borderId="0" xfId="52" applyNumberFormat="1" applyFont="1" applyFill="1" applyBorder="1" applyAlignment="1">
      <alignment horizontal="left" vertical="center" wrapText="1"/>
      <protection/>
    </xf>
    <xf numFmtId="172" fontId="3" fillId="0" borderId="11" xfId="52" applyNumberFormat="1" applyFont="1" applyFill="1" applyBorder="1" applyAlignment="1">
      <alignment vertical="center" wrapText="1"/>
      <protection/>
    </xf>
    <xf numFmtId="172" fontId="3" fillId="34" borderId="11" xfId="52" applyNumberFormat="1" applyFont="1" applyFill="1" applyBorder="1" applyAlignment="1">
      <alignment vertical="center" wrapText="1"/>
      <protection/>
    </xf>
    <xf numFmtId="0" fontId="6" fillId="34" borderId="0" xfId="0" applyFont="1" applyFill="1" applyAlignment="1">
      <alignment vertical="center" wrapText="1"/>
    </xf>
    <xf numFmtId="0" fontId="16" fillId="0" borderId="11" xfId="52" applyNumberFormat="1" applyFont="1" applyFill="1" applyBorder="1" applyAlignment="1">
      <alignment vertical="center" wrapText="1"/>
      <protection/>
    </xf>
    <xf numFmtId="2" fontId="85" fillId="38" borderId="0" xfId="0" applyNumberFormat="1" applyFont="1" applyFill="1" applyBorder="1" applyAlignment="1">
      <alignment vertical="center" wrapText="1"/>
    </xf>
    <xf numFmtId="0" fontId="85" fillId="38" borderId="0" xfId="0" applyFont="1" applyFill="1" applyBorder="1" applyAlignment="1">
      <alignment vertical="center" wrapText="1"/>
    </xf>
    <xf numFmtId="0" fontId="85" fillId="38" borderId="0" xfId="0" applyFont="1" applyFill="1" applyBorder="1" applyAlignment="1">
      <alignment horizontal="right" vertical="center"/>
    </xf>
    <xf numFmtId="0" fontId="85" fillId="38" borderId="19" xfId="0" applyFont="1" applyFill="1" applyBorder="1" applyAlignment="1">
      <alignment horizontal="center" vertical="center"/>
    </xf>
    <xf numFmtId="0" fontId="86" fillId="39" borderId="12" xfId="0" applyFont="1" applyFill="1" applyBorder="1" applyAlignment="1">
      <alignment horizontal="center" vertical="center" wrapText="1"/>
    </xf>
    <xf numFmtId="0" fontId="86" fillId="39" borderId="0" xfId="0" applyFont="1" applyFill="1" applyBorder="1" applyAlignment="1">
      <alignment horizontal="center" vertical="center" wrapText="1"/>
    </xf>
    <xf numFmtId="0" fontId="86" fillId="39" borderId="19" xfId="0" applyFont="1" applyFill="1" applyBorder="1" applyAlignment="1">
      <alignment horizontal="center" vertical="center" wrapText="1"/>
    </xf>
    <xf numFmtId="2" fontId="87" fillId="0" borderId="0" xfId="0" applyNumberFormat="1" applyFont="1" applyBorder="1" applyAlignment="1">
      <alignment horizontal="right" vertical="center" wrapText="1"/>
    </xf>
    <xf numFmtId="2" fontId="87" fillId="0" borderId="19" xfId="0" applyNumberFormat="1" applyFont="1" applyBorder="1" applyAlignment="1">
      <alignment horizontal="right" vertical="center" wrapText="1"/>
    </xf>
    <xf numFmtId="2" fontId="85" fillId="0" borderId="19" xfId="0" applyNumberFormat="1" applyFont="1" applyBorder="1" applyAlignment="1">
      <alignment horizontal="right" vertical="center" wrapText="1"/>
    </xf>
    <xf numFmtId="2" fontId="87" fillId="38" borderId="19" xfId="0" applyNumberFormat="1" applyFont="1" applyFill="1" applyBorder="1" applyAlignment="1">
      <alignment horizontal="right" vertical="center" wrapText="1"/>
    </xf>
    <xf numFmtId="2" fontId="85" fillId="38" borderId="2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43" fontId="6" fillId="34" borderId="0" xfId="0" applyNumberFormat="1" applyFont="1" applyFill="1" applyAlignment="1">
      <alignment horizontal="center" vertical="center" wrapText="1"/>
    </xf>
    <xf numFmtId="171" fontId="6" fillId="34" borderId="0" xfId="444" applyFont="1" applyFill="1" applyAlignment="1">
      <alignment vertical="center" wrapText="1"/>
    </xf>
    <xf numFmtId="0" fontId="6" fillId="40" borderId="0" xfId="0" applyFont="1" applyFill="1" applyAlignment="1">
      <alignment horizontal="center" vertical="center" wrapText="1"/>
    </xf>
    <xf numFmtId="43" fontId="6" fillId="36" borderId="0" xfId="0" applyNumberFormat="1" applyFont="1" applyFill="1" applyAlignment="1">
      <alignment horizontal="center" vertical="center" wrapText="1"/>
    </xf>
    <xf numFmtId="0" fontId="8" fillId="34" borderId="21" xfId="307" applyNumberFormat="1" applyFont="1" applyFill="1" applyBorder="1" applyAlignment="1">
      <alignment vertical="center" wrapText="1"/>
    </xf>
    <xf numFmtId="0" fontId="8" fillId="34" borderId="21" xfId="444" applyNumberFormat="1" applyFont="1" applyFill="1" applyBorder="1" applyAlignment="1">
      <alignment vertical="center" wrapText="1"/>
    </xf>
    <xf numFmtId="9" fontId="0" fillId="0" borderId="0" xfId="301" applyFont="1" applyAlignment="1">
      <alignment/>
    </xf>
    <xf numFmtId="0" fontId="0" fillId="0" borderId="0" xfId="227" applyFont="1">
      <alignment/>
      <protection/>
    </xf>
    <xf numFmtId="0" fontId="0" fillId="0" borderId="28" xfId="227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/>
      <protection/>
    </xf>
    <xf numFmtId="2" fontId="0" fillId="0" borderId="29" xfId="227" applyNumberFormat="1" applyFont="1" applyBorder="1" applyAlignment="1">
      <alignment horizontal="center"/>
      <protection/>
    </xf>
    <xf numFmtId="0" fontId="0" fillId="0" borderId="30" xfId="227" applyFont="1" applyBorder="1" applyAlignment="1">
      <alignment horizontal="center"/>
      <protection/>
    </xf>
    <xf numFmtId="2" fontId="0" fillId="0" borderId="31" xfId="227" applyNumberFormat="1" applyFont="1" applyBorder="1" applyAlignment="1">
      <alignment horizontal="center"/>
      <protection/>
    </xf>
    <xf numFmtId="2" fontId="0" fillId="0" borderId="32" xfId="227" applyNumberFormat="1" applyFont="1" applyBorder="1" applyAlignment="1">
      <alignment horizontal="center"/>
      <protection/>
    </xf>
    <xf numFmtId="0" fontId="77" fillId="0" borderId="33" xfId="227" applyFont="1" applyBorder="1" applyAlignment="1">
      <alignment horizontal="center"/>
      <protection/>
    </xf>
    <xf numFmtId="2" fontId="77" fillId="0" borderId="34" xfId="227" applyNumberFormat="1" applyFont="1" applyBorder="1" applyAlignment="1">
      <alignment horizontal="center"/>
      <protection/>
    </xf>
    <xf numFmtId="2" fontId="77" fillId="0" borderId="35" xfId="227" applyNumberFormat="1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 vertical="center"/>
      <protection/>
    </xf>
    <xf numFmtId="2" fontId="0" fillId="0" borderId="29" xfId="227" applyNumberFormat="1" applyFont="1" applyBorder="1" applyAlignment="1">
      <alignment horizontal="center" vertical="center"/>
      <protection/>
    </xf>
    <xf numFmtId="0" fontId="77" fillId="0" borderId="36" xfId="227" applyFont="1" applyBorder="1" applyAlignment="1">
      <alignment horizontal="center"/>
      <protection/>
    </xf>
    <xf numFmtId="2" fontId="77" fillId="0" borderId="37" xfId="227" applyNumberFormat="1" applyFont="1" applyBorder="1" applyAlignment="1">
      <alignment horizontal="center"/>
      <protection/>
    </xf>
    <xf numFmtId="2" fontId="77" fillId="0" borderId="38" xfId="227" applyNumberFormat="1" applyFont="1" applyBorder="1" applyAlignment="1">
      <alignment horizontal="center"/>
      <protection/>
    </xf>
    <xf numFmtId="0" fontId="53" fillId="0" borderId="14" xfId="227" applyFont="1" applyFill="1" applyBorder="1" applyAlignment="1">
      <alignment horizontal="center" vertical="center"/>
      <protection/>
    </xf>
    <xf numFmtId="4" fontId="8" fillId="34" borderId="21" xfId="307" applyNumberFormat="1" applyFont="1" applyFill="1" applyBorder="1" applyAlignment="1">
      <alignment horizontal="right" vertical="center" wrapText="1"/>
    </xf>
    <xf numFmtId="171" fontId="8" fillId="0" borderId="2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8" fillId="0" borderId="21" xfId="307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23" fillId="0" borderId="27" xfId="0" applyNumberFormat="1" applyFont="1" applyFill="1" applyBorder="1" applyAlignment="1">
      <alignment horizontal="right" vertical="center"/>
    </xf>
    <xf numFmtId="4" fontId="8" fillId="0" borderId="21" xfId="433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10" fontId="22" fillId="0" borderId="27" xfId="0" applyNumberFormat="1" applyFont="1" applyFill="1" applyBorder="1" applyAlignment="1">
      <alignment horizontal="center" vertical="center"/>
    </xf>
    <xf numFmtId="171" fontId="21" fillId="35" borderId="15" xfId="309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center" wrapText="1"/>
    </xf>
    <xf numFmtId="2" fontId="81" fillId="0" borderId="18" xfId="0" applyNumberFormat="1" applyFont="1" applyBorder="1" applyAlignment="1">
      <alignment horizontal="center" vertical="center"/>
    </xf>
    <xf numFmtId="2" fontId="81" fillId="0" borderId="14" xfId="0" applyNumberFormat="1" applyFont="1" applyBorder="1" applyAlignment="1">
      <alignment horizontal="left" vertical="center"/>
    </xf>
    <xf numFmtId="171" fontId="8" fillId="34" borderId="27" xfId="307" applyFont="1" applyFill="1" applyBorder="1" applyAlignment="1">
      <alignment vertical="center"/>
    </xf>
    <xf numFmtId="0" fontId="8" fillId="34" borderId="27" xfId="444" applyNumberFormat="1" applyFont="1" applyFill="1" applyBorder="1" applyAlignment="1">
      <alignment vertical="center" wrapText="1"/>
    </xf>
    <xf numFmtId="0" fontId="8" fillId="34" borderId="27" xfId="444" applyNumberFormat="1" applyFont="1" applyFill="1" applyBorder="1" applyAlignment="1">
      <alignment horizontal="center" vertical="center" wrapText="1"/>
    </xf>
    <xf numFmtId="0" fontId="8" fillId="34" borderId="21" xfId="444" applyNumberFormat="1" applyFont="1" applyFill="1" applyBorder="1" applyAlignment="1">
      <alignment horizontal="center" vertical="center" wrapText="1"/>
    </xf>
    <xf numFmtId="0" fontId="8" fillId="0" borderId="31" xfId="444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4" fontId="8" fillId="34" borderId="21" xfId="444" applyNumberFormat="1" applyFont="1" applyFill="1" applyBorder="1" applyAlignment="1">
      <alignment horizontal="right" vertical="center"/>
    </xf>
    <xf numFmtId="0" fontId="81" fillId="0" borderId="11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/>
    </xf>
    <xf numFmtId="0" fontId="8" fillId="0" borderId="13" xfId="444" applyNumberFormat="1" applyFont="1" applyFill="1" applyBorder="1" applyAlignment="1">
      <alignment vertical="center" wrapText="1"/>
    </xf>
    <xf numFmtId="0" fontId="8" fillId="0" borderId="27" xfId="434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4" fontId="23" fillId="34" borderId="27" xfId="0" applyNumberFormat="1" applyFont="1" applyFill="1" applyBorder="1" applyAlignment="1">
      <alignment horizontal="center" vertical="center"/>
    </xf>
    <xf numFmtId="10" fontId="22" fillId="34" borderId="27" xfId="0" applyNumberFormat="1" applyFont="1" applyFill="1" applyBorder="1" applyAlignment="1">
      <alignment horizontal="center" vertical="center"/>
    </xf>
    <xf numFmtId="0" fontId="16" fillId="0" borderId="0" xfId="52" applyNumberFormat="1" applyFont="1" applyFill="1" applyBorder="1" applyAlignment="1">
      <alignment vertical="center" wrapText="1"/>
      <protection/>
    </xf>
    <xf numFmtId="4" fontId="24" fillId="34" borderId="0" xfId="307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left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1" fillId="0" borderId="11" xfId="0" applyNumberFormat="1" applyFont="1" applyBorder="1" applyAlignment="1">
      <alignment horizontal="left" vertical="center"/>
    </xf>
    <xf numFmtId="171" fontId="21" fillId="16" borderId="11" xfId="309" applyFont="1" applyFill="1" applyBorder="1" applyAlignment="1">
      <alignment horizontal="left" vertical="center" wrapText="1"/>
    </xf>
    <xf numFmtId="0" fontId="81" fillId="16" borderId="11" xfId="0" applyFont="1" applyFill="1" applyBorder="1" applyAlignment="1">
      <alignment/>
    </xf>
    <xf numFmtId="171" fontId="21" fillId="16" borderId="16" xfId="309" applyFont="1" applyFill="1" applyBorder="1" applyAlignment="1">
      <alignment horizontal="left" vertical="center" wrapText="1"/>
    </xf>
    <xf numFmtId="2" fontId="80" fillId="16" borderId="17" xfId="0" applyNumberFormat="1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/>
    </xf>
    <xf numFmtId="2" fontId="81" fillId="0" borderId="19" xfId="0" applyNumberFormat="1" applyFont="1" applyFill="1" applyBorder="1" applyAlignment="1">
      <alignment horizontal="center" vertical="center"/>
    </xf>
    <xf numFmtId="171" fontId="20" fillId="0" borderId="11" xfId="309" applyFont="1" applyFill="1" applyBorder="1" applyAlignment="1">
      <alignment horizontal="center" vertical="center" wrapText="1"/>
    </xf>
    <xf numFmtId="184" fontId="87" fillId="0" borderId="0" xfId="0" applyNumberFormat="1" applyFont="1" applyBorder="1" applyAlignment="1">
      <alignment horizontal="right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8" fillId="0" borderId="21" xfId="307" applyNumberFormat="1" applyFont="1" applyFill="1" applyBorder="1" applyAlignment="1">
      <alignment vertical="center" wrapText="1"/>
    </xf>
    <xf numFmtId="4" fontId="23" fillId="0" borderId="31" xfId="0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right" vertical="center"/>
    </xf>
    <xf numFmtId="0" fontId="23" fillId="0" borderId="39" xfId="0" applyNumberFormat="1" applyFont="1" applyFill="1" applyBorder="1" applyAlignment="1">
      <alignment horizontal="center" vertical="center" wrapText="1"/>
    </xf>
    <xf numFmtId="0" fontId="8" fillId="0" borderId="21" xfId="444" applyNumberFormat="1" applyFont="1" applyFill="1" applyBorder="1" applyAlignment="1">
      <alignment vertical="center" wrapText="1"/>
    </xf>
    <xf numFmtId="2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7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quotePrefix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171" fontId="8" fillId="0" borderId="21" xfId="307" applyFont="1" applyFill="1" applyBorder="1" applyAlignment="1">
      <alignment vertical="center"/>
    </xf>
    <xf numFmtId="10" fontId="22" fillId="0" borderId="31" xfId="0" applyNumberFormat="1" applyFont="1" applyFill="1" applyBorder="1" applyAlignment="1">
      <alignment horizontal="center" vertical="center"/>
    </xf>
    <xf numFmtId="0" fontId="8" fillId="0" borderId="10" xfId="434" applyNumberFormat="1" applyFont="1" applyFill="1" applyBorder="1" applyAlignment="1">
      <alignment horizontal="left" vertical="center" wrapText="1"/>
    </xf>
    <xf numFmtId="4" fontId="8" fillId="0" borderId="21" xfId="307" applyNumberFormat="1" applyFont="1" applyFill="1" applyBorder="1" applyAlignment="1">
      <alignment horizontal="right" vertical="center" wrapText="1"/>
    </xf>
    <xf numFmtId="4" fontId="8" fillId="0" borderId="21" xfId="299" applyNumberFormat="1" applyFont="1" applyFill="1" applyBorder="1" applyAlignment="1">
      <alignment horizontal="right" vertical="center"/>
      <protection/>
    </xf>
    <xf numFmtId="0" fontId="8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0" fontId="53" fillId="35" borderId="30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53" fillId="35" borderId="32" xfId="227" applyFont="1" applyFill="1" applyBorder="1" applyAlignment="1">
      <alignment horizontal="center" vertical="center"/>
      <protection/>
    </xf>
    <xf numFmtId="2" fontId="53" fillId="35" borderId="21" xfId="227" applyNumberFormat="1" applyFont="1" applyFill="1" applyBorder="1" applyAlignment="1">
      <alignment horizontal="center"/>
      <protection/>
    </xf>
    <xf numFmtId="2" fontId="53" fillId="35" borderId="29" xfId="227" applyNumberFormat="1" applyFont="1" applyFill="1" applyBorder="1" applyAlignment="1">
      <alignment horizontal="center"/>
      <protection/>
    </xf>
    <xf numFmtId="171" fontId="21" fillId="35" borderId="15" xfId="309" applyFont="1" applyFill="1" applyBorder="1" applyAlignment="1">
      <alignment vertical="center" wrapText="1"/>
    </xf>
    <xf numFmtId="171" fontId="21" fillId="35" borderId="16" xfId="309" applyFont="1" applyFill="1" applyBorder="1" applyAlignment="1">
      <alignment vertical="center"/>
    </xf>
    <xf numFmtId="0" fontId="11" fillId="0" borderId="40" xfId="296" applyFont="1" applyFill="1" applyBorder="1" applyAlignment="1">
      <alignment horizontal="center" vertical="center"/>
      <protection/>
    </xf>
    <xf numFmtId="0" fontId="11" fillId="0" borderId="41" xfId="296" applyFont="1" applyFill="1" applyBorder="1" applyAlignment="1">
      <alignment horizontal="center" vertical="center"/>
      <protection/>
    </xf>
    <xf numFmtId="0" fontId="11" fillId="0" borderId="42" xfId="296" applyFont="1" applyFill="1" applyBorder="1" applyAlignment="1">
      <alignment horizontal="center" vertical="center"/>
      <protection/>
    </xf>
    <xf numFmtId="0" fontId="19" fillId="0" borderId="36" xfId="296" applyFont="1" applyFill="1" applyBorder="1" applyAlignment="1">
      <alignment horizontal="center" vertical="center" wrapText="1"/>
      <protection/>
    </xf>
    <xf numFmtId="0" fontId="19" fillId="0" borderId="38" xfId="296" applyFont="1" applyFill="1" applyBorder="1" applyAlignment="1">
      <alignment horizontal="center" vertical="center" wrapText="1"/>
      <protection/>
    </xf>
    <xf numFmtId="0" fontId="9" fillId="0" borderId="0" xfId="296" applyFont="1" applyFill="1" applyBorder="1" applyAlignment="1">
      <alignment vertical="center"/>
      <protection/>
    </xf>
    <xf numFmtId="0" fontId="11" fillId="35" borderId="43" xfId="296" applyFont="1" applyFill="1" applyBorder="1" applyAlignment="1">
      <alignment vertical="center"/>
      <protection/>
    </xf>
    <xf numFmtId="0" fontId="11" fillId="0" borderId="0" xfId="296" applyFont="1" applyFill="1" applyBorder="1" applyAlignment="1">
      <alignment vertical="center"/>
      <protection/>
    </xf>
    <xf numFmtId="0" fontId="9" fillId="0" borderId="0" xfId="296" applyFont="1" applyFill="1" applyBorder="1" applyAlignment="1">
      <alignment horizontal="center" vertical="center"/>
      <protection/>
    </xf>
    <xf numFmtId="0" fontId="9" fillId="35" borderId="43" xfId="296" applyFont="1" applyFill="1" applyBorder="1" applyAlignment="1">
      <alignment vertical="center"/>
      <protection/>
    </xf>
    <xf numFmtId="171" fontId="9" fillId="0" borderId="0" xfId="433" applyFont="1" applyFill="1" applyBorder="1" applyAlignment="1">
      <alignment horizontal="right" vertical="center"/>
    </xf>
    <xf numFmtId="0" fontId="0" fillId="35" borderId="43" xfId="0" applyFill="1" applyBorder="1" applyAlignment="1">
      <alignment/>
    </xf>
    <xf numFmtId="171" fontId="9" fillId="0" borderId="0" xfId="296" applyNumberFormat="1" applyFont="1" applyFill="1" applyBorder="1" applyAlignment="1">
      <alignment horizontal="right" vertical="center"/>
      <protection/>
    </xf>
    <xf numFmtId="9" fontId="11" fillId="35" borderId="43" xfId="301" applyFont="1" applyFill="1" applyBorder="1" applyAlignment="1">
      <alignment horizontal="center" vertical="center"/>
    </xf>
    <xf numFmtId="43" fontId="9" fillId="0" borderId="0" xfId="433" applyNumberFormat="1" applyFont="1" applyFill="1" applyBorder="1" applyAlignment="1">
      <alignment horizontal="right" vertical="center"/>
    </xf>
    <xf numFmtId="43" fontId="11" fillId="35" borderId="43" xfId="433" applyNumberFormat="1" applyFont="1" applyFill="1" applyBorder="1" applyAlignment="1">
      <alignment horizontal="right" vertical="center"/>
    </xf>
    <xf numFmtId="0" fontId="9" fillId="35" borderId="43" xfId="296" applyFont="1" applyFill="1" applyBorder="1" applyAlignment="1">
      <alignment horizontal="right" vertical="center"/>
      <protection/>
    </xf>
    <xf numFmtId="43" fontId="11" fillId="35" borderId="43" xfId="296" applyNumberFormat="1" applyFont="1" applyFill="1" applyBorder="1" applyAlignment="1">
      <alignment horizontal="right" vertical="center"/>
      <protection/>
    </xf>
    <xf numFmtId="43" fontId="9" fillId="0" borderId="0" xfId="296" applyNumberFormat="1" applyFont="1" applyFill="1" applyBorder="1" applyAlignment="1">
      <alignment horizontal="right" vertical="center"/>
      <protection/>
    </xf>
    <xf numFmtId="10" fontId="11" fillId="35" borderId="43" xfId="301" applyNumberFormat="1" applyFont="1" applyFill="1" applyBorder="1" applyAlignment="1">
      <alignment horizontal="right" vertical="center"/>
    </xf>
    <xf numFmtId="10" fontId="11" fillId="35" borderId="43" xfId="433" applyNumberFormat="1" applyFont="1" applyFill="1" applyBorder="1" applyAlignment="1">
      <alignment horizontal="right" vertical="center"/>
    </xf>
    <xf numFmtId="10" fontId="11" fillId="35" borderId="43" xfId="296" applyNumberFormat="1" applyFont="1" applyFill="1" applyBorder="1" applyAlignment="1">
      <alignment horizontal="center" vertical="center"/>
      <protection/>
    </xf>
    <xf numFmtId="4" fontId="14" fillId="0" borderId="43" xfId="298" applyNumberFormat="1" applyFont="1" applyFill="1" applyBorder="1" applyAlignment="1" applyProtection="1">
      <alignment horizontal="center" vertical="center" wrapText="1"/>
      <protection/>
    </xf>
    <xf numFmtId="2" fontId="14" fillId="0" borderId="43" xfId="301" applyNumberFormat="1" applyFont="1" applyFill="1" applyBorder="1" applyAlignment="1" applyProtection="1">
      <alignment horizontal="center" vertical="center" wrapText="1"/>
      <protection/>
    </xf>
    <xf numFmtId="0" fontId="8" fillId="34" borderId="27" xfId="307" applyNumberFormat="1" applyFont="1" applyFill="1" applyBorder="1" applyAlignment="1">
      <alignment vertical="center" wrapText="1"/>
    </xf>
    <xf numFmtId="0" fontId="8" fillId="34" borderId="27" xfId="307" applyNumberFormat="1" applyFont="1" applyFill="1" applyBorder="1" applyAlignment="1">
      <alignment horizontal="center" vertical="center" wrapText="1"/>
    </xf>
    <xf numFmtId="0" fontId="22" fillId="35" borderId="22" xfId="0" applyNumberFormat="1" applyFont="1" applyFill="1" applyBorder="1" applyAlignment="1" quotePrefix="1">
      <alignment horizontal="center" vertical="center" wrapText="1"/>
    </xf>
    <xf numFmtId="0" fontId="22" fillId="35" borderId="44" xfId="0" applyNumberFormat="1" applyFont="1" applyFill="1" applyBorder="1" applyAlignment="1">
      <alignment horizontal="left" vertical="center" wrapText="1"/>
    </xf>
    <xf numFmtId="0" fontId="22" fillId="35" borderId="23" xfId="0" applyNumberFormat="1" applyFont="1" applyFill="1" applyBorder="1" applyAlignment="1">
      <alignment horizontal="left" vertical="center" wrapText="1"/>
    </xf>
    <xf numFmtId="0" fontId="23" fillId="35" borderId="23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 applyAlignment="1">
      <alignment horizontal="right" vertical="center"/>
    </xf>
    <xf numFmtId="4" fontId="23" fillId="35" borderId="45" xfId="0" applyNumberFormat="1" applyFont="1" applyFill="1" applyBorder="1" applyAlignment="1">
      <alignment horizontal="right" vertical="center"/>
    </xf>
    <xf numFmtId="4" fontId="22" fillId="35" borderId="45" xfId="0" applyNumberFormat="1" applyFont="1" applyFill="1" applyBorder="1" applyAlignment="1">
      <alignment horizontal="center" vertical="center"/>
    </xf>
    <xf numFmtId="10" fontId="22" fillId="35" borderId="35" xfId="0" applyNumberFormat="1" applyFont="1" applyFill="1" applyBorder="1" applyAlignment="1">
      <alignment horizontal="center" vertical="center"/>
    </xf>
    <xf numFmtId="0" fontId="23" fillId="34" borderId="31" xfId="0" applyNumberFormat="1" applyFont="1" applyFill="1" applyBorder="1" applyAlignment="1" quotePrefix="1">
      <alignment horizontal="center" vertical="center" wrapText="1"/>
    </xf>
    <xf numFmtId="4" fontId="23" fillId="34" borderId="39" xfId="0" applyNumberFormat="1" applyFont="1" applyFill="1" applyBorder="1" applyAlignment="1">
      <alignment horizontal="right" vertical="center"/>
    </xf>
    <xf numFmtId="10" fontId="22" fillId="34" borderId="31" xfId="0" applyNumberFormat="1" applyFont="1" applyFill="1" applyBorder="1" applyAlignment="1">
      <alignment horizontal="center" vertical="center"/>
    </xf>
    <xf numFmtId="0" fontId="22" fillId="35" borderId="33" xfId="0" applyNumberFormat="1" applyFont="1" applyFill="1" applyBorder="1" applyAlignment="1" quotePrefix="1">
      <alignment horizontal="center" vertical="center" wrapText="1"/>
    </xf>
    <xf numFmtId="0" fontId="22" fillId="35" borderId="23" xfId="0" applyNumberFormat="1" applyFont="1" applyFill="1" applyBorder="1" applyAlignment="1">
      <alignment horizontal="center" vertical="center" wrapText="1"/>
    </xf>
    <xf numFmtId="4" fontId="22" fillId="35" borderId="34" xfId="0" applyNumberFormat="1" applyFont="1" applyFill="1" applyBorder="1" applyAlignment="1">
      <alignment horizontal="center" vertical="center"/>
    </xf>
    <xf numFmtId="4" fontId="23" fillId="16" borderId="16" xfId="0" applyNumberFormat="1" applyFont="1" applyFill="1" applyBorder="1" applyAlignment="1">
      <alignment horizontal="right" vertical="center"/>
    </xf>
    <xf numFmtId="10" fontId="22" fillId="16" borderId="21" xfId="0" applyNumberFormat="1" applyFont="1" applyFill="1" applyBorder="1" applyAlignment="1">
      <alignment horizontal="center" vertical="center"/>
    </xf>
    <xf numFmtId="0" fontId="22" fillId="16" borderId="15" xfId="0" applyNumberFormat="1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89" fillId="16" borderId="16" xfId="0" applyFont="1" applyFill="1" applyBorder="1" applyAlignment="1" quotePrefix="1">
      <alignment horizontal="center" vertical="center" wrapText="1"/>
    </xf>
    <xf numFmtId="0" fontId="8" fillId="16" borderId="16" xfId="0" applyFont="1" applyFill="1" applyBorder="1" applyAlignment="1">
      <alignment horizontal="center" vertical="center"/>
    </xf>
    <xf numFmtId="4" fontId="8" fillId="16" borderId="16" xfId="307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horizontal="right" vertical="center"/>
    </xf>
    <xf numFmtId="4" fontId="22" fillId="16" borderId="21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171" fontId="20" fillId="0" borderId="0" xfId="309" applyFont="1" applyFill="1" applyBorder="1" applyAlignment="1">
      <alignment horizontal="center" vertical="center" wrapText="1"/>
    </xf>
    <xf numFmtId="171" fontId="20" fillId="0" borderId="14" xfId="309" applyFont="1" applyFill="1" applyBorder="1" applyAlignment="1">
      <alignment horizontal="center" vertical="center" wrapText="1"/>
    </xf>
    <xf numFmtId="171" fontId="21" fillId="35" borderId="13" xfId="309" applyFont="1" applyFill="1" applyBorder="1" applyAlignment="1">
      <alignment horizontal="center" vertical="center" wrapText="1"/>
    </xf>
    <xf numFmtId="171" fontId="21" fillId="35" borderId="14" xfId="309" applyFont="1" applyFill="1" applyBorder="1" applyAlignment="1">
      <alignment horizontal="left" vertical="center" wrapText="1"/>
    </xf>
    <xf numFmtId="171" fontId="21" fillId="35" borderId="14" xfId="309" applyFont="1" applyFill="1" applyBorder="1" applyAlignment="1">
      <alignment horizontal="center" vertical="center" wrapText="1"/>
    </xf>
    <xf numFmtId="171" fontId="21" fillId="35" borderId="14" xfId="309" applyFont="1" applyFill="1" applyBorder="1" applyAlignment="1">
      <alignment horizontal="center" vertical="center"/>
    </xf>
    <xf numFmtId="171" fontId="21" fillId="35" borderId="20" xfId="309" applyFont="1" applyFill="1" applyBorder="1" applyAlignment="1">
      <alignment horizontal="center" vertical="center"/>
    </xf>
    <xf numFmtId="171" fontId="21" fillId="16" borderId="15" xfId="309" applyFont="1" applyFill="1" applyBorder="1" applyAlignment="1">
      <alignment horizontal="center" vertical="center" wrapText="1"/>
    </xf>
    <xf numFmtId="171" fontId="20" fillId="35" borderId="14" xfId="309" applyFont="1" applyFill="1" applyBorder="1" applyAlignment="1">
      <alignment horizontal="left" vertical="center" wrapText="1"/>
    </xf>
    <xf numFmtId="2" fontId="81" fillId="35" borderId="14" xfId="0" applyNumberFormat="1" applyFont="1" applyFill="1" applyBorder="1" applyAlignment="1">
      <alignment horizontal="center" vertical="center"/>
    </xf>
    <xf numFmtId="2" fontId="80" fillId="35" borderId="20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/>
    </xf>
    <xf numFmtId="0" fontId="18" fillId="0" borderId="0" xfId="299" applyFont="1" applyFill="1" applyBorder="1" applyAlignment="1">
      <alignment horizontal="left" vertical="center" wrapText="1"/>
      <protection/>
    </xf>
    <xf numFmtId="0" fontId="8" fillId="0" borderId="21" xfId="307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2" fontId="4" fillId="34" borderId="19" xfId="0" applyNumberFormat="1" applyFont="1" applyFill="1" applyBorder="1" applyAlignment="1">
      <alignment horizontal="right" vertical="center" wrapText="1"/>
    </xf>
    <xf numFmtId="0" fontId="11" fillId="0" borderId="46" xfId="296" applyFont="1" applyFill="1" applyBorder="1" applyAlignment="1">
      <alignment horizontal="center" vertical="center"/>
      <protection/>
    </xf>
    <xf numFmtId="0" fontId="81" fillId="0" borderId="12" xfId="0" applyFont="1" applyBorder="1" applyAlignment="1">
      <alignment horizontal="center" vertical="center" wrapText="1"/>
    </xf>
    <xf numFmtId="0" fontId="23" fillId="0" borderId="39" xfId="0" applyNumberFormat="1" applyFont="1" applyFill="1" applyBorder="1" applyAlignment="1" quotePrefix="1">
      <alignment horizontal="center" vertical="center" wrapText="1"/>
    </xf>
    <xf numFmtId="0" fontId="8" fillId="0" borderId="27" xfId="444" applyNumberFormat="1" applyFont="1" applyFill="1" applyBorder="1" applyAlignment="1">
      <alignment horizontal="center" vertical="center" wrapText="1"/>
    </xf>
    <xf numFmtId="10" fontId="22" fillId="0" borderId="3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8" fillId="0" borderId="31" xfId="307" applyNumberFormat="1" applyFont="1" applyFill="1" applyBorder="1" applyAlignment="1">
      <alignment vertical="center" wrapText="1"/>
    </xf>
    <xf numFmtId="0" fontId="8" fillId="0" borderId="21" xfId="444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right" vertical="center"/>
    </xf>
    <xf numFmtId="4" fontId="22" fillId="0" borderId="27" xfId="0" applyNumberFormat="1" applyFont="1" applyFill="1" applyBorder="1" applyAlignment="1">
      <alignment horizontal="center" vertical="center"/>
    </xf>
    <xf numFmtId="171" fontId="8" fillId="0" borderId="27" xfId="307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horizontal="right" vertical="center" wrapText="1"/>
    </xf>
    <xf numFmtId="0" fontId="8" fillId="0" borderId="31" xfId="444" applyNumberFormat="1" applyFont="1" applyFill="1" applyBorder="1" applyAlignment="1">
      <alignment vertical="center" wrapText="1"/>
    </xf>
    <xf numFmtId="4" fontId="23" fillId="34" borderId="31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87" fillId="34" borderId="0" xfId="0" applyFont="1" applyFill="1" applyBorder="1" applyAlignment="1">
      <alignment horizontal="right" vertical="center" wrapText="1"/>
    </xf>
    <xf numFmtId="2" fontId="85" fillId="34" borderId="0" xfId="0" applyNumberFormat="1" applyFont="1" applyFill="1" applyBorder="1" applyAlignment="1">
      <alignment horizontal="right" vertical="center" wrapText="1"/>
    </xf>
    <xf numFmtId="2" fontId="80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8" fillId="0" borderId="31" xfId="307" applyNumberFormat="1" applyFont="1" applyFill="1" applyBorder="1" applyAlignment="1">
      <alignment horizontal="right" vertical="center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right" vertical="center" wrapText="1"/>
    </xf>
    <xf numFmtId="0" fontId="87" fillId="39" borderId="12" xfId="0" applyFont="1" applyFill="1" applyBorder="1" applyAlignment="1">
      <alignment vertical="center" wrapText="1"/>
    </xf>
    <xf numFmtId="0" fontId="87" fillId="39" borderId="0" xfId="0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171" fontId="21" fillId="35" borderId="12" xfId="309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quotePrefix="1">
      <alignment horizontal="center" vertical="center" wrapText="1"/>
    </xf>
    <xf numFmtId="4" fontId="8" fillId="0" borderId="31" xfId="307" applyNumberFormat="1" applyFont="1" applyFill="1" applyBorder="1" applyAlignment="1">
      <alignment horizontal="right" vertical="center" wrapText="1"/>
    </xf>
    <xf numFmtId="2" fontId="81" fillId="16" borderId="11" xfId="0" applyNumberFormat="1" applyFont="1" applyFill="1" applyBorder="1" applyAlignment="1">
      <alignment horizontal="center" vertical="center"/>
    </xf>
    <xf numFmtId="2" fontId="80" fillId="16" borderId="18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4" fontId="8" fillId="16" borderId="16" xfId="444" applyNumberFormat="1" applyFont="1" applyFill="1" applyBorder="1" applyAlignment="1">
      <alignment horizontal="right" vertical="center"/>
    </xf>
    <xf numFmtId="4" fontId="8" fillId="34" borderId="31" xfId="444" applyNumberFormat="1" applyFont="1" applyFill="1" applyBorder="1" applyAlignment="1">
      <alignment horizontal="right" vertical="center"/>
    </xf>
    <xf numFmtId="0" fontId="81" fillId="0" borderId="10" xfId="0" applyFont="1" applyBorder="1" applyAlignment="1">
      <alignment horizontal="center" vertical="center" wrapText="1"/>
    </xf>
    <xf numFmtId="2" fontId="81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8" fillId="34" borderId="21" xfId="309" applyNumberFormat="1" applyFont="1" applyFill="1" applyBorder="1" applyAlignment="1">
      <alignment horizontal="center" vertical="center" wrapText="1"/>
    </xf>
    <xf numFmtId="171" fontId="8" fillId="0" borderId="27" xfId="371" applyFont="1" applyFill="1" applyBorder="1" applyAlignment="1">
      <alignment vertical="center"/>
    </xf>
    <xf numFmtId="4" fontId="23" fillId="0" borderId="39" xfId="0" applyNumberFormat="1" applyFont="1" applyFill="1" applyBorder="1" applyAlignment="1">
      <alignment horizontal="center" vertical="center"/>
    </xf>
    <xf numFmtId="200" fontId="20" fillId="0" borderId="0" xfId="309" applyNumberFormat="1" applyFont="1" applyFill="1" applyBorder="1" applyAlignment="1">
      <alignment horizontal="left" vertical="center" wrapText="1"/>
    </xf>
    <xf numFmtId="200" fontId="81" fillId="0" borderId="0" xfId="0" applyNumberFormat="1" applyFont="1" applyBorder="1" applyAlignment="1">
      <alignment/>
    </xf>
    <xf numFmtId="200" fontId="81" fillId="0" borderId="0" xfId="0" applyNumberFormat="1" applyFont="1" applyBorder="1" applyAlignment="1">
      <alignment horizontal="center" vertical="center"/>
    </xf>
    <xf numFmtId="200" fontId="0" fillId="0" borderId="0" xfId="0" applyNumberFormat="1" applyAlignment="1">
      <alignment/>
    </xf>
    <xf numFmtId="200" fontId="20" fillId="0" borderId="11" xfId="309" applyNumberFormat="1" applyFont="1" applyFill="1" applyBorder="1" applyAlignment="1">
      <alignment horizontal="left" vertical="center" wrapText="1"/>
    </xf>
    <xf numFmtId="200" fontId="81" fillId="0" borderId="11" xfId="0" applyNumberFormat="1" applyFont="1" applyBorder="1" applyAlignment="1">
      <alignment/>
    </xf>
    <xf numFmtId="200" fontId="81" fillId="0" borderId="11" xfId="0" applyNumberFormat="1" applyFont="1" applyBorder="1" applyAlignment="1">
      <alignment horizontal="center" vertical="center"/>
    </xf>
    <xf numFmtId="200" fontId="81" fillId="0" borderId="11" xfId="0" applyNumberFormat="1" applyFont="1" applyBorder="1" applyAlignment="1">
      <alignment horizontal="center"/>
    </xf>
    <xf numFmtId="200" fontId="80" fillId="0" borderId="18" xfId="0" applyNumberFormat="1" applyFont="1" applyBorder="1" applyAlignment="1">
      <alignment horizontal="center" vertical="center"/>
    </xf>
    <xf numFmtId="171" fontId="8" fillId="0" borderId="21" xfId="307" applyFont="1" applyFill="1" applyBorder="1" applyAlignment="1">
      <alignment horizontal="right" vertical="center"/>
    </xf>
    <xf numFmtId="0" fontId="22" fillId="35" borderId="47" xfId="0" applyNumberFormat="1" applyFont="1" applyFill="1" applyBorder="1" applyAlignment="1">
      <alignment horizontal="left" vertical="center" wrapText="1"/>
    </xf>
    <xf numFmtId="0" fontId="22" fillId="35" borderId="48" xfId="0" applyNumberFormat="1" applyFont="1" applyFill="1" applyBorder="1" applyAlignment="1">
      <alignment horizontal="left" vertical="center" wrapText="1"/>
    </xf>
    <xf numFmtId="0" fontId="22" fillId="35" borderId="48" xfId="0" applyNumberFormat="1" applyFont="1" applyFill="1" applyBorder="1" applyAlignment="1">
      <alignment horizontal="center" vertical="center" wrapText="1"/>
    </xf>
    <xf numFmtId="0" fontId="23" fillId="35" borderId="48" xfId="0" applyNumberFormat="1" applyFont="1" applyFill="1" applyBorder="1" applyAlignment="1">
      <alignment horizontal="center" vertical="center" wrapText="1"/>
    </xf>
    <xf numFmtId="4" fontId="23" fillId="35" borderId="48" xfId="0" applyNumberFormat="1" applyFont="1" applyFill="1" applyBorder="1" applyAlignment="1">
      <alignment horizontal="right" vertical="center"/>
    </xf>
    <xf numFmtId="4" fontId="23" fillId="35" borderId="49" xfId="0" applyNumberFormat="1" applyFont="1" applyFill="1" applyBorder="1" applyAlignment="1">
      <alignment horizontal="right" vertical="center"/>
    </xf>
    <xf numFmtId="0" fontId="22" fillId="35" borderId="3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2" fontId="85" fillId="38" borderId="0" xfId="0" applyNumberFormat="1" applyFont="1" applyFill="1" applyBorder="1" applyAlignment="1">
      <alignment horizontal="right" vertical="center" wrapText="1"/>
    </xf>
    <xf numFmtId="0" fontId="8" fillId="34" borderId="27" xfId="444" applyNumberFormat="1" applyFont="1" applyFill="1" applyBorder="1" applyAlignment="1" quotePrefix="1">
      <alignment horizontal="center" vertical="center" wrapText="1"/>
    </xf>
    <xf numFmtId="4" fontId="8" fillId="34" borderId="27" xfId="307" applyNumberFormat="1" applyFont="1" applyFill="1" applyBorder="1" applyAlignment="1">
      <alignment horizontal="right" vertical="center" wrapText="1"/>
    </xf>
    <xf numFmtId="4" fontId="23" fillId="34" borderId="19" xfId="0" applyNumberFormat="1" applyFont="1" applyFill="1" applyBorder="1" applyAlignment="1">
      <alignment horizontal="center" vertical="center"/>
    </xf>
    <xf numFmtId="10" fontId="22" fillId="34" borderId="39" xfId="0" applyNumberFormat="1" applyFont="1" applyFill="1" applyBorder="1" applyAlignment="1">
      <alignment horizontal="center" vertical="center"/>
    </xf>
    <xf numFmtId="200" fontId="20" fillId="0" borderId="10" xfId="309" applyNumberFormat="1" applyFont="1" applyFill="1" applyBorder="1" applyAlignment="1">
      <alignment horizontal="center" vertical="center" wrapText="1"/>
    </xf>
    <xf numFmtId="200" fontId="20" fillId="0" borderId="12" xfId="309" applyNumberFormat="1" applyFont="1" applyFill="1" applyBorder="1" applyAlignment="1">
      <alignment horizontal="center" vertical="center" wrapText="1"/>
    </xf>
    <xf numFmtId="171" fontId="21" fillId="35" borderId="10" xfId="309" applyFont="1" applyFill="1" applyBorder="1" applyAlignment="1">
      <alignment horizontal="left" vertical="center" wrapText="1"/>
    </xf>
    <xf numFmtId="0" fontId="8" fillId="0" borderId="21" xfId="309" applyNumberFormat="1" applyFont="1" applyFill="1" applyBorder="1" applyAlignment="1">
      <alignment horizontal="center" vertical="center" wrapText="1"/>
    </xf>
    <xf numFmtId="0" fontId="22" fillId="35" borderId="50" xfId="0" applyNumberFormat="1" applyFont="1" applyFill="1" applyBorder="1" applyAlignment="1" quotePrefix="1">
      <alignment horizontal="center" vertical="center" wrapText="1"/>
    </xf>
    <xf numFmtId="4" fontId="22" fillId="35" borderId="51" xfId="0" applyNumberFormat="1" applyFont="1" applyFill="1" applyBorder="1" applyAlignment="1">
      <alignment horizontal="center" vertical="center"/>
    </xf>
    <xf numFmtId="10" fontId="22" fillId="35" borderId="52" xfId="0" applyNumberFormat="1" applyFont="1" applyFill="1" applyBorder="1" applyAlignment="1">
      <alignment horizontal="center" vertical="center"/>
    </xf>
    <xf numFmtId="0" fontId="11" fillId="0" borderId="53" xfId="296" applyFont="1" applyFill="1" applyBorder="1" applyAlignment="1">
      <alignment vertical="center"/>
      <protection/>
    </xf>
    <xf numFmtId="0" fontId="11" fillId="0" borderId="54" xfId="296" applyFont="1" applyFill="1" applyBorder="1" applyAlignment="1">
      <alignment vertical="center"/>
      <protection/>
    </xf>
    <xf numFmtId="0" fontId="11" fillId="0" borderId="55" xfId="296" applyFont="1" applyFill="1" applyBorder="1" applyAlignment="1">
      <alignment horizontal="left" vertical="center"/>
      <protection/>
    </xf>
    <xf numFmtId="0" fontId="11" fillId="0" borderId="55" xfId="296" applyFont="1" applyFill="1" applyBorder="1" applyAlignment="1">
      <alignment vertical="center"/>
      <protection/>
    </xf>
    <xf numFmtId="0" fontId="11" fillId="0" borderId="56" xfId="296" applyFont="1" applyFill="1" applyBorder="1" applyAlignment="1">
      <alignment vertical="center"/>
      <protection/>
    </xf>
    <xf numFmtId="193" fontId="9" fillId="0" borderId="21" xfId="301" applyNumberFormat="1" applyFont="1" applyFill="1" applyBorder="1" applyAlignment="1">
      <alignment horizontal="center" vertical="center"/>
    </xf>
    <xf numFmtId="43" fontId="9" fillId="0" borderId="21" xfId="433" applyNumberFormat="1" applyFont="1" applyFill="1" applyBorder="1" applyAlignment="1">
      <alignment horizontal="right" vertical="center"/>
    </xf>
    <xf numFmtId="43" fontId="9" fillId="0" borderId="21" xfId="296" applyNumberFormat="1" applyFont="1" applyFill="1" applyBorder="1" applyAlignment="1">
      <alignment horizontal="right" vertical="center"/>
      <protection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37" borderId="22" xfId="51" applyNumberFormat="1" applyFont="1" applyFill="1" applyBorder="1" applyAlignment="1">
      <alignment horizontal="center" vertical="center" wrapText="1"/>
      <protection/>
    </xf>
    <xf numFmtId="172" fontId="12" fillId="37" borderId="23" xfId="51" applyNumberFormat="1" applyFont="1" applyFill="1" applyBorder="1" applyAlignment="1">
      <alignment horizontal="center" vertical="center" wrapText="1"/>
      <protection/>
    </xf>
    <xf numFmtId="172" fontId="12" fillId="37" borderId="24" xfId="51" applyNumberFormat="1" applyFont="1" applyFill="1" applyBorder="1" applyAlignment="1">
      <alignment horizontal="center" vertical="center" wrapText="1"/>
      <protection/>
    </xf>
    <xf numFmtId="172" fontId="8" fillId="0" borderId="15" xfId="51" applyNumberFormat="1" applyFont="1" applyFill="1" applyBorder="1" applyAlignment="1">
      <alignment horizontal="left" vertical="center" wrapText="1"/>
      <protection/>
    </xf>
    <xf numFmtId="172" fontId="8" fillId="0" borderId="16" xfId="51" applyNumberFormat="1" applyFont="1" applyFill="1" applyBorder="1" applyAlignment="1">
      <alignment horizontal="left" vertical="center" wrapText="1"/>
      <protection/>
    </xf>
    <xf numFmtId="172" fontId="8" fillId="0" borderId="17" xfId="51" applyNumberFormat="1" applyFont="1" applyFill="1" applyBorder="1" applyAlignment="1">
      <alignment horizontal="left" vertical="center" wrapText="1"/>
      <protection/>
    </xf>
    <xf numFmtId="172" fontId="12" fillId="0" borderId="15" xfId="51" applyNumberFormat="1" applyFont="1" applyFill="1" applyBorder="1" applyAlignment="1">
      <alignment horizontal="center" vertical="center" wrapText="1"/>
      <protection/>
    </xf>
    <xf numFmtId="172" fontId="12" fillId="0" borderId="16" xfId="51" applyNumberFormat="1" applyFont="1" applyFill="1" applyBorder="1" applyAlignment="1">
      <alignment horizontal="center" vertical="center" wrapText="1"/>
      <protection/>
    </xf>
    <xf numFmtId="172" fontId="12" fillId="0" borderId="17" xfId="51" applyNumberFormat="1" applyFont="1" applyFill="1" applyBorder="1" applyAlignment="1">
      <alignment horizontal="center" vertical="center" wrapText="1"/>
      <protection/>
    </xf>
    <xf numFmtId="0" fontId="14" fillId="0" borderId="57" xfId="298" applyNumberFormat="1" applyFont="1" applyFill="1" applyBorder="1" applyAlignment="1" applyProtection="1">
      <alignment horizontal="center" vertical="center" wrapText="1"/>
      <protection/>
    </xf>
    <xf numFmtId="0" fontId="14" fillId="0" borderId="48" xfId="298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" fontId="14" fillId="0" borderId="58" xfId="298" applyNumberFormat="1" applyFont="1" applyFill="1" applyBorder="1" applyAlignment="1" applyProtection="1">
      <alignment horizontal="center" vertical="center" wrapText="1"/>
      <protection/>
    </xf>
    <xf numFmtId="4" fontId="14" fillId="0" borderId="59" xfId="298" applyNumberFormat="1" applyFont="1" applyFill="1" applyBorder="1" applyAlignment="1" applyProtection="1">
      <alignment horizontal="center" vertical="center" wrapText="1"/>
      <protection/>
    </xf>
    <xf numFmtId="10" fontId="14" fillId="0" borderId="58" xfId="298" applyNumberFormat="1" applyFont="1" applyFill="1" applyBorder="1" applyAlignment="1" applyProtection="1">
      <alignment horizontal="center" vertical="center" wrapText="1"/>
      <protection/>
    </xf>
    <xf numFmtId="10" fontId="14" fillId="0" borderId="59" xfId="298" applyNumberFormat="1" applyFont="1" applyFill="1" applyBorder="1" applyAlignment="1" applyProtection="1">
      <alignment horizontal="center" vertical="center" wrapText="1"/>
      <protection/>
    </xf>
    <xf numFmtId="0" fontId="22" fillId="35" borderId="22" xfId="0" applyNumberFormat="1" applyFont="1" applyFill="1" applyBorder="1" applyAlignment="1" quotePrefix="1">
      <alignment horizontal="left" vertical="center" wrapText="1"/>
    </xf>
    <xf numFmtId="0" fontId="22" fillId="35" borderId="23" xfId="0" applyNumberFormat="1" applyFont="1" applyFill="1" applyBorder="1" applyAlignment="1" quotePrefix="1">
      <alignment horizontal="left" vertical="center" wrapText="1"/>
    </xf>
    <xf numFmtId="0" fontId="25" fillId="41" borderId="0" xfId="299" applyFont="1" applyFill="1" applyBorder="1" applyAlignment="1">
      <alignment horizontal="justify" vertical="center" wrapText="1"/>
      <protection/>
    </xf>
    <xf numFmtId="0" fontId="14" fillId="0" borderId="40" xfId="51" applyNumberFormat="1" applyFont="1" applyFill="1" applyBorder="1" applyAlignment="1">
      <alignment horizontal="center" vertical="center" wrapText="1"/>
      <protection/>
    </xf>
    <xf numFmtId="0" fontId="14" fillId="0" borderId="42" xfId="51" applyNumberFormat="1" applyFont="1" applyFill="1" applyBorder="1" applyAlignment="1">
      <alignment horizontal="center" vertical="center" wrapText="1"/>
      <protection/>
    </xf>
    <xf numFmtId="0" fontId="8" fillId="0" borderId="0" xfId="299" applyFont="1" applyFill="1" applyBorder="1" applyAlignment="1">
      <alignment horizontal="left" vertical="center" wrapText="1"/>
      <protection/>
    </xf>
    <xf numFmtId="0" fontId="14" fillId="0" borderId="58" xfId="298" applyNumberFormat="1" applyFont="1" applyFill="1" applyBorder="1" applyAlignment="1" applyProtection="1">
      <alignment horizontal="center" vertical="center" wrapText="1"/>
      <protection/>
    </xf>
    <xf numFmtId="0" fontId="14" fillId="0" borderId="59" xfId="298" applyNumberFormat="1" applyFont="1" applyFill="1" applyBorder="1" applyAlignment="1" applyProtection="1">
      <alignment horizontal="center" vertical="center" wrapText="1"/>
      <protection/>
    </xf>
    <xf numFmtId="4" fontId="14" fillId="0" borderId="57" xfId="298" applyNumberFormat="1" applyFont="1" applyFill="1" applyBorder="1" applyAlignment="1" applyProtection="1">
      <alignment horizontal="center" vertical="center" wrapText="1"/>
      <protection/>
    </xf>
    <xf numFmtId="4" fontId="14" fillId="0" borderId="48" xfId="298" applyNumberFormat="1" applyFont="1" applyFill="1" applyBorder="1" applyAlignment="1" applyProtection="1">
      <alignment horizontal="center" vertical="center" wrapText="1"/>
      <protection/>
    </xf>
    <xf numFmtId="4" fontId="14" fillId="34" borderId="58" xfId="298" applyNumberFormat="1" applyFont="1" applyFill="1" applyBorder="1" applyAlignment="1" applyProtection="1">
      <alignment horizontal="center" vertical="center" wrapText="1"/>
      <protection/>
    </xf>
    <xf numFmtId="4" fontId="14" fillId="34" borderId="59" xfId="298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72" fontId="3" fillId="0" borderId="15" xfId="51" applyNumberFormat="1" applyFont="1" applyFill="1" applyBorder="1" applyAlignment="1">
      <alignment horizontal="left" vertical="center" wrapText="1"/>
      <protection/>
    </xf>
    <xf numFmtId="172" fontId="3" fillId="0" borderId="16" xfId="51" applyNumberFormat="1" applyFont="1" applyFill="1" applyBorder="1" applyAlignment="1">
      <alignment horizontal="left" vertical="center" wrapText="1"/>
      <protection/>
    </xf>
    <xf numFmtId="0" fontId="4" fillId="37" borderId="22" xfId="296" applyFont="1" applyFill="1" applyBorder="1" applyAlignment="1">
      <alignment horizontal="center" vertical="center"/>
      <protection/>
    </xf>
    <xf numFmtId="0" fontId="4" fillId="37" borderId="23" xfId="296" applyFont="1" applyFill="1" applyBorder="1" applyAlignment="1">
      <alignment horizontal="center" vertical="center"/>
      <protection/>
    </xf>
    <xf numFmtId="0" fontId="4" fillId="37" borderId="24" xfId="296" applyFont="1" applyFill="1" applyBorder="1" applyAlignment="1">
      <alignment horizontal="center" vertical="center"/>
      <protection/>
    </xf>
    <xf numFmtId="0" fontId="2" fillId="34" borderId="0" xfId="299" applyFont="1" applyFill="1" applyBorder="1" applyAlignment="1">
      <alignment horizontal="left" vertical="top"/>
      <protection/>
    </xf>
    <xf numFmtId="172" fontId="4" fillId="0" borderId="15" xfId="51" applyNumberFormat="1" applyFont="1" applyFill="1" applyBorder="1" applyAlignment="1">
      <alignment horizontal="center" vertical="center" wrapText="1"/>
      <protection/>
    </xf>
    <xf numFmtId="172" fontId="4" fillId="0" borderId="16" xfId="51" applyNumberFormat="1" applyFont="1" applyFill="1" applyBorder="1" applyAlignment="1">
      <alignment horizontal="center" vertical="center" wrapText="1"/>
      <protection/>
    </xf>
    <xf numFmtId="172" fontId="4" fillId="0" borderId="17" xfId="51" applyNumberFormat="1" applyFont="1" applyFill="1" applyBorder="1" applyAlignment="1">
      <alignment horizontal="center"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19" fillId="0" borderId="58" xfId="296" applyFont="1" applyFill="1" applyBorder="1" applyAlignment="1">
      <alignment horizontal="center" vertical="center" wrapText="1"/>
      <protection/>
    </xf>
    <xf numFmtId="0" fontId="19" fillId="0" borderId="59" xfId="296" applyFont="1" applyFill="1" applyBorder="1" applyAlignment="1">
      <alignment horizontal="center" vertical="center" wrapText="1"/>
      <protection/>
    </xf>
    <xf numFmtId="0" fontId="19" fillId="0" borderId="53" xfId="296" applyFont="1" applyFill="1" applyBorder="1" applyAlignment="1">
      <alignment horizontal="center" vertical="center" wrapText="1"/>
      <protection/>
    </xf>
    <xf numFmtId="0" fontId="19" fillId="0" borderId="60" xfId="296" applyFont="1" applyFill="1" applyBorder="1" applyAlignment="1">
      <alignment horizontal="center" vertical="center" wrapText="1"/>
      <protection/>
    </xf>
    <xf numFmtId="0" fontId="19" fillId="0" borderId="61" xfId="296" applyFont="1" applyFill="1" applyBorder="1" applyAlignment="1">
      <alignment horizontal="center" vertical="center" wrapText="1"/>
      <protection/>
    </xf>
    <xf numFmtId="0" fontId="19" fillId="0" borderId="62" xfId="296" applyFont="1" applyFill="1" applyBorder="1" applyAlignment="1">
      <alignment horizontal="center" vertical="center" wrapText="1"/>
      <protection/>
    </xf>
    <xf numFmtId="0" fontId="19" fillId="0" borderId="57" xfId="296" applyFont="1" applyFill="1" applyBorder="1" applyAlignment="1">
      <alignment horizontal="center" vertical="center" wrapText="1"/>
      <protection/>
    </xf>
    <xf numFmtId="0" fontId="19" fillId="0" borderId="48" xfId="296" applyFont="1" applyFill="1" applyBorder="1" applyAlignment="1">
      <alignment horizontal="center" vertical="center" wrapText="1"/>
      <protection/>
    </xf>
    <xf numFmtId="172" fontId="3" fillId="0" borderId="17" xfId="51" applyNumberFormat="1" applyFont="1" applyFill="1" applyBorder="1" applyAlignment="1">
      <alignment horizontal="left" vertical="center" wrapText="1"/>
      <protection/>
    </xf>
    <xf numFmtId="0" fontId="3" fillId="0" borderId="0" xfId="299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72" fontId="18" fillId="0" borderId="21" xfId="52" applyNumberFormat="1" applyFont="1" applyFill="1" applyBorder="1" applyAlignment="1">
      <alignment horizontal="left" vertical="center" wrapText="1"/>
      <protection/>
    </xf>
    <xf numFmtId="0" fontId="20" fillId="0" borderId="21" xfId="0" applyNumberFormat="1" applyFont="1" applyFill="1" applyBorder="1" applyAlignment="1">
      <alignment horizontal="left" vertical="center" wrapText="1"/>
    </xf>
    <xf numFmtId="172" fontId="12" fillId="0" borderId="21" xfId="52" applyNumberFormat="1" applyFont="1" applyFill="1" applyBorder="1" applyAlignment="1">
      <alignment horizontal="left" vertical="center" wrapText="1"/>
      <protection/>
    </xf>
    <xf numFmtId="172" fontId="17" fillId="0" borderId="21" xfId="52" applyNumberFormat="1" applyFont="1" applyFill="1" applyBorder="1" applyAlignment="1">
      <alignment horizontal="center" vertical="center" wrapText="1"/>
      <protection/>
    </xf>
    <xf numFmtId="0" fontId="80" fillId="37" borderId="22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37" borderId="24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0" xfId="299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right" vertical="center" wrapText="1"/>
    </xf>
    <xf numFmtId="0" fontId="87" fillId="39" borderId="12" xfId="0" applyFont="1" applyFill="1" applyBorder="1" applyAlignment="1">
      <alignment vertical="center" wrapText="1"/>
    </xf>
    <xf numFmtId="0" fontId="87" fillId="39" borderId="0" xfId="0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7" fillId="38" borderId="12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9" xfId="0" applyFont="1" applyFill="1" applyBorder="1" applyAlignment="1">
      <alignment horizontal="center" vertical="center" wrapText="1"/>
    </xf>
    <xf numFmtId="172" fontId="3" fillId="0" borderId="15" xfId="52" applyNumberFormat="1" applyFont="1" applyFill="1" applyBorder="1" applyAlignment="1">
      <alignment horizontal="left" vertical="center" wrapText="1"/>
      <protection/>
    </xf>
    <xf numFmtId="172" fontId="3" fillId="0" borderId="16" xfId="52" applyNumberFormat="1" applyFont="1" applyFill="1" applyBorder="1" applyAlignment="1">
      <alignment horizontal="left" vertical="center" wrapText="1"/>
      <protection/>
    </xf>
    <xf numFmtId="172" fontId="3" fillId="0" borderId="17" xfId="52" applyNumberFormat="1" applyFont="1" applyFill="1" applyBorder="1" applyAlignment="1">
      <alignment horizontal="left" vertical="center" wrapText="1"/>
      <protection/>
    </xf>
    <xf numFmtId="172" fontId="14" fillId="0" borderId="15" xfId="52" applyNumberFormat="1" applyFont="1" applyFill="1" applyBorder="1" applyAlignment="1">
      <alignment horizontal="left" vertical="center" wrapText="1"/>
      <protection/>
    </xf>
    <xf numFmtId="172" fontId="14" fillId="0" borderId="16" xfId="52" applyNumberFormat="1" applyFont="1" applyFill="1" applyBorder="1" applyAlignment="1">
      <alignment horizontal="left" vertical="center" wrapText="1"/>
      <protection/>
    </xf>
    <xf numFmtId="172" fontId="14" fillId="0" borderId="17" xfId="52" applyNumberFormat="1" applyFont="1" applyFill="1" applyBorder="1" applyAlignment="1">
      <alignment horizontal="left" vertical="center" wrapText="1"/>
      <protection/>
    </xf>
    <xf numFmtId="172" fontId="4" fillId="37" borderId="22" xfId="52" applyNumberFormat="1" applyFont="1" applyFill="1" applyBorder="1" applyAlignment="1">
      <alignment horizontal="center" vertical="center" wrapText="1"/>
      <protection/>
    </xf>
    <xf numFmtId="172" fontId="4" fillId="37" borderId="23" xfId="52" applyNumberFormat="1" applyFont="1" applyFill="1" applyBorder="1" applyAlignment="1">
      <alignment horizontal="center" vertical="center" wrapText="1"/>
      <protection/>
    </xf>
    <xf numFmtId="172" fontId="4" fillId="37" borderId="24" xfId="52" applyNumberFormat="1" applyFont="1" applyFill="1" applyBorder="1" applyAlignment="1">
      <alignment horizontal="center" vertical="center" wrapText="1"/>
      <protection/>
    </xf>
    <xf numFmtId="0" fontId="86" fillId="39" borderId="10" xfId="0" applyFont="1" applyFill="1" applyBorder="1" applyAlignment="1">
      <alignment horizontal="left" vertical="center" wrapText="1"/>
    </xf>
    <xf numFmtId="0" fontId="86" fillId="39" borderId="11" xfId="0" applyFont="1" applyFill="1" applyBorder="1" applyAlignment="1">
      <alignment horizontal="left" vertical="center" wrapText="1"/>
    </xf>
    <xf numFmtId="0" fontId="86" fillId="39" borderId="18" xfId="0" applyFont="1" applyFill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85" fillId="38" borderId="15" xfId="0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left" vertical="center" wrapText="1"/>
    </xf>
    <xf numFmtId="10" fontId="85" fillId="38" borderId="16" xfId="302" applyNumberFormat="1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right" vertical="center" wrapText="1"/>
    </xf>
    <xf numFmtId="0" fontId="85" fillId="38" borderId="17" xfId="0" applyFont="1" applyFill="1" applyBorder="1" applyAlignment="1">
      <alignment horizontal="right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83" fillId="34" borderId="0" xfId="0" applyFont="1" applyFill="1" applyBorder="1" applyAlignment="1">
      <alignment horizontal="center" vertical="top" wrapText="1"/>
    </xf>
    <xf numFmtId="2" fontId="83" fillId="34" borderId="22" xfId="0" applyNumberFormat="1" applyFont="1" applyFill="1" applyBorder="1" applyAlignment="1">
      <alignment horizontal="center" vertical="top" wrapText="1"/>
    </xf>
    <xf numFmtId="2" fontId="83" fillId="34" borderId="23" xfId="0" applyNumberFormat="1" applyFont="1" applyFill="1" applyBorder="1" applyAlignment="1">
      <alignment horizontal="center" vertical="top" wrapText="1"/>
    </xf>
    <xf numFmtId="2" fontId="83" fillId="34" borderId="24" xfId="0" applyNumberFormat="1" applyFont="1" applyFill="1" applyBorder="1" applyAlignment="1">
      <alignment horizontal="center" vertical="top" wrapText="1"/>
    </xf>
    <xf numFmtId="172" fontId="2" fillId="0" borderId="15" xfId="51" applyNumberFormat="1" applyFont="1" applyFill="1" applyBorder="1" applyAlignment="1">
      <alignment horizontal="left" vertical="center" wrapText="1"/>
      <protection/>
    </xf>
    <xf numFmtId="172" fontId="2" fillId="0" borderId="17" xfId="51" applyNumberFormat="1" applyFont="1" applyFill="1" applyBorder="1" applyAlignment="1">
      <alignment horizontal="left" vertical="center" wrapText="1"/>
      <protection/>
    </xf>
    <xf numFmtId="172" fontId="16" fillId="0" borderId="21" xfId="51" applyNumberFormat="1" applyFont="1" applyFill="1" applyBorder="1" applyAlignment="1">
      <alignment horizontal="left" vertical="center" wrapText="1"/>
      <protection/>
    </xf>
    <xf numFmtId="172" fontId="2" fillId="0" borderId="21" xfId="51" applyNumberFormat="1" applyFont="1" applyFill="1" applyBorder="1" applyAlignment="1">
      <alignment horizontal="left" vertical="center" wrapText="1"/>
      <protection/>
    </xf>
    <xf numFmtId="172" fontId="14" fillId="0" borderId="21" xfId="51" applyNumberFormat="1" applyFont="1" applyFill="1" applyBorder="1" applyAlignment="1">
      <alignment horizontal="center" vertical="center" wrapText="1"/>
      <protection/>
    </xf>
    <xf numFmtId="172" fontId="12" fillId="37" borderId="33" xfId="51" applyNumberFormat="1" applyFont="1" applyFill="1" applyBorder="1" applyAlignment="1">
      <alignment horizontal="center" vertical="center" wrapText="1"/>
      <protection/>
    </xf>
    <xf numFmtId="172" fontId="12" fillId="37" borderId="34" xfId="51" applyNumberFormat="1" applyFont="1" applyFill="1" applyBorder="1" applyAlignment="1">
      <alignment horizontal="center" vertical="center" wrapText="1"/>
      <protection/>
    </xf>
    <xf numFmtId="172" fontId="12" fillId="37" borderId="35" xfId="51" applyNumberFormat="1" applyFont="1" applyFill="1" applyBorder="1" applyAlignment="1">
      <alignment horizontal="center" vertical="center" wrapText="1"/>
      <protection/>
    </xf>
    <xf numFmtId="0" fontId="90" fillId="34" borderId="22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top" wrapText="1"/>
    </xf>
    <xf numFmtId="0" fontId="90" fillId="34" borderId="23" xfId="0" applyFont="1" applyFill="1" applyBorder="1" applyAlignment="1">
      <alignment horizontal="center" vertical="top" wrapText="1"/>
    </xf>
    <xf numFmtId="0" fontId="90" fillId="34" borderId="2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3" fillId="34" borderId="22" xfId="0" applyFont="1" applyFill="1" applyBorder="1" applyAlignment="1">
      <alignment horizontal="left" vertical="top" wrapText="1"/>
    </xf>
    <xf numFmtId="0" fontId="83" fillId="34" borderId="23" xfId="0" applyFont="1" applyFill="1" applyBorder="1" applyAlignment="1">
      <alignment horizontal="left" vertical="top" wrapText="1"/>
    </xf>
    <xf numFmtId="0" fontId="53" fillId="37" borderId="22" xfId="227" applyFont="1" applyFill="1" applyBorder="1" applyAlignment="1">
      <alignment horizontal="center" vertical="center"/>
      <protection/>
    </xf>
    <xf numFmtId="0" fontId="53" fillId="37" borderId="23" xfId="227" applyFont="1" applyFill="1" applyBorder="1" applyAlignment="1">
      <alignment horizontal="center" vertical="center"/>
      <protection/>
    </xf>
    <xf numFmtId="0" fontId="53" fillId="37" borderId="24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77" fillId="0" borderId="63" xfId="227" applyFont="1" applyBorder="1" applyAlignment="1">
      <alignment horizontal="center"/>
      <protection/>
    </xf>
    <xf numFmtId="0" fontId="77" fillId="0" borderId="64" xfId="227" applyFont="1" applyBorder="1" applyAlignment="1">
      <alignment horizontal="center"/>
      <protection/>
    </xf>
    <xf numFmtId="0" fontId="77" fillId="0" borderId="65" xfId="227" applyFont="1" applyBorder="1" applyAlignment="1">
      <alignment horizontal="center"/>
      <protection/>
    </xf>
    <xf numFmtId="0" fontId="0" fillId="0" borderId="21" xfId="227" applyFont="1" applyBorder="1" applyAlignment="1">
      <alignment horizontal="left"/>
      <protection/>
    </xf>
    <xf numFmtId="0" fontId="0" fillId="0" borderId="31" xfId="227" applyFont="1" applyBorder="1" applyAlignment="1">
      <alignment horizontal="left"/>
      <protection/>
    </xf>
    <xf numFmtId="0" fontId="77" fillId="0" borderId="34" xfId="227" applyFont="1" applyBorder="1" applyAlignment="1">
      <alignment horizontal="center"/>
      <protection/>
    </xf>
    <xf numFmtId="0" fontId="0" fillId="0" borderId="25" xfId="227" applyFont="1" applyBorder="1" applyAlignment="1">
      <alignment horizontal="center"/>
      <protection/>
    </xf>
    <xf numFmtId="0" fontId="0" fillId="0" borderId="0" xfId="227" applyFont="1" applyBorder="1" applyAlignment="1">
      <alignment horizontal="center"/>
      <protection/>
    </xf>
    <xf numFmtId="0" fontId="0" fillId="0" borderId="26" xfId="227" applyFont="1" applyBorder="1" applyAlignment="1">
      <alignment horizontal="center"/>
      <protection/>
    </xf>
    <xf numFmtId="0" fontId="0" fillId="0" borderId="15" xfId="227" applyFont="1" applyBorder="1" applyAlignment="1">
      <alignment horizontal="left"/>
      <protection/>
    </xf>
    <xf numFmtId="0" fontId="0" fillId="0" borderId="16" xfId="227" applyFont="1" applyBorder="1" applyAlignment="1">
      <alignment horizontal="left"/>
      <protection/>
    </xf>
    <xf numFmtId="0" fontId="0" fillId="0" borderId="17" xfId="227" applyFont="1" applyBorder="1" applyAlignment="1">
      <alignment horizontal="left"/>
      <protection/>
    </xf>
    <xf numFmtId="0" fontId="77" fillId="0" borderId="37" xfId="227" applyFont="1" applyBorder="1" applyAlignment="1">
      <alignment horizontal="center"/>
      <protection/>
    </xf>
    <xf numFmtId="0" fontId="77" fillId="0" borderId="66" xfId="227" applyFont="1" applyBorder="1" applyAlignment="1">
      <alignment horizontal="center" wrapText="1"/>
      <protection/>
    </xf>
    <xf numFmtId="0" fontId="77" fillId="0" borderId="67" xfId="227" applyFont="1" applyBorder="1" applyAlignment="1">
      <alignment horizontal="center" wrapText="1"/>
      <protection/>
    </xf>
    <xf numFmtId="0" fontId="77" fillId="0" borderId="68" xfId="227" applyFont="1" applyBorder="1" applyAlignment="1">
      <alignment horizontal="center" wrapText="1"/>
      <protection/>
    </xf>
    <xf numFmtId="0" fontId="0" fillId="0" borderId="15" xfId="227" applyFont="1" applyBorder="1" applyAlignment="1">
      <alignment horizontal="left" wrapText="1"/>
      <protection/>
    </xf>
    <xf numFmtId="0" fontId="0" fillId="0" borderId="16" xfId="227" applyFont="1" applyBorder="1" applyAlignment="1">
      <alignment horizontal="left" wrapText="1"/>
      <protection/>
    </xf>
    <xf numFmtId="0" fontId="0" fillId="0" borderId="17" xfId="227" applyFont="1" applyBorder="1" applyAlignment="1">
      <alignment horizontal="left" wrapText="1"/>
      <protection/>
    </xf>
    <xf numFmtId="0" fontId="0" fillId="0" borderId="54" xfId="227" applyFont="1" applyBorder="1" applyAlignment="1">
      <alignment horizontal="center"/>
      <protection/>
    </xf>
    <xf numFmtId="0" fontId="0" fillId="0" borderId="14" xfId="227" applyFont="1" applyBorder="1" applyAlignment="1">
      <alignment horizontal="center"/>
      <protection/>
    </xf>
    <xf numFmtId="0" fontId="0" fillId="0" borderId="69" xfId="227" applyFont="1" applyBorder="1" applyAlignment="1">
      <alignment horizontal="center"/>
      <protection/>
    </xf>
    <xf numFmtId="0" fontId="53" fillId="35" borderId="28" xfId="227" applyFont="1" applyFill="1" applyBorder="1" applyAlignment="1">
      <alignment horizontal="center"/>
      <protection/>
    </xf>
    <xf numFmtId="0" fontId="53" fillId="35" borderId="21" xfId="227" applyFont="1" applyFill="1" applyBorder="1" applyAlignment="1">
      <alignment horizontal="center"/>
      <protection/>
    </xf>
    <xf numFmtId="0" fontId="0" fillId="0" borderId="56" xfId="227" applyFont="1" applyBorder="1" applyAlignment="1">
      <alignment horizontal="center"/>
      <protection/>
    </xf>
    <xf numFmtId="0" fontId="0" fillId="0" borderId="67" xfId="227" applyFont="1" applyBorder="1" applyAlignment="1">
      <alignment horizontal="center"/>
      <protection/>
    </xf>
    <xf numFmtId="0" fontId="0" fillId="0" borderId="70" xfId="227" applyFont="1" applyBorder="1" applyAlignment="1">
      <alignment horizontal="center"/>
      <protection/>
    </xf>
    <xf numFmtId="172" fontId="16" fillId="0" borderId="15" xfId="51" applyNumberFormat="1" applyFont="1" applyFill="1" applyBorder="1" applyAlignment="1">
      <alignment horizontal="left" vertical="center" wrapText="1"/>
      <protection/>
    </xf>
    <xf numFmtId="172" fontId="16" fillId="0" borderId="16" xfId="51" applyNumberFormat="1" applyFont="1" applyFill="1" applyBorder="1" applyAlignment="1">
      <alignment horizontal="left" vertical="center" wrapText="1"/>
      <protection/>
    </xf>
    <xf numFmtId="172" fontId="16" fillId="0" borderId="17" xfId="51" applyNumberFormat="1" applyFont="1" applyFill="1" applyBorder="1" applyAlignment="1">
      <alignment horizontal="left" vertical="center" wrapText="1"/>
      <protection/>
    </xf>
    <xf numFmtId="172" fontId="4" fillId="0" borderId="13" xfId="51" applyNumberFormat="1" applyFont="1" applyFill="1" applyBorder="1" applyAlignment="1">
      <alignment horizontal="center" vertical="center" wrapText="1"/>
      <protection/>
    </xf>
    <xf numFmtId="172" fontId="4" fillId="0" borderId="14" xfId="51" applyNumberFormat="1" applyFont="1" applyFill="1" applyBorder="1" applyAlignment="1">
      <alignment horizontal="center" vertical="center" wrapText="1"/>
      <protection/>
    </xf>
    <xf numFmtId="172" fontId="4" fillId="0" borderId="20" xfId="51" applyNumberFormat="1" applyFont="1" applyFill="1" applyBorder="1" applyAlignment="1">
      <alignment horizontal="center" vertical="center" wrapText="1"/>
      <protection/>
    </xf>
    <xf numFmtId="172" fontId="2" fillId="0" borderId="16" xfId="51" applyNumberFormat="1" applyFont="1" applyFill="1" applyBorder="1" applyAlignment="1">
      <alignment horizontal="left" vertical="center" wrapText="1"/>
      <protection/>
    </xf>
    <xf numFmtId="172" fontId="2" fillId="0" borderId="13" xfId="51" applyNumberFormat="1" applyFont="1" applyFill="1" applyBorder="1" applyAlignment="1">
      <alignment horizontal="left" vertical="center" wrapText="1"/>
      <protection/>
    </xf>
    <xf numFmtId="172" fontId="2" fillId="0" borderId="14" xfId="51" applyNumberFormat="1" applyFont="1" applyFill="1" applyBorder="1" applyAlignment="1">
      <alignment horizontal="left" vertical="center" wrapText="1"/>
      <protection/>
    </xf>
    <xf numFmtId="172" fontId="2" fillId="0" borderId="20" xfId="51" applyNumberFormat="1" applyFont="1" applyFill="1" applyBorder="1" applyAlignment="1">
      <alignment horizontal="left" vertical="center" wrapText="1"/>
      <protection/>
    </xf>
  </cellXfs>
  <cellStyles count="43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9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0" xfId="206"/>
    <cellStyle name="Normal 3 21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19" xfId="225"/>
    <cellStyle name="Normal 4 2" xfId="226"/>
    <cellStyle name="Normal 4 2 3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Porcentagem 3" xfId="305"/>
    <cellStyle name="Saída" xfId="306"/>
    <cellStyle name="Comma" xfId="307"/>
    <cellStyle name="Comma [0]" xfId="308"/>
    <cellStyle name="Separador de milhares 10" xfId="309"/>
    <cellStyle name="Separador de milhares 11" xfId="310"/>
    <cellStyle name="Separador de milhares 2" xfId="311"/>
    <cellStyle name="Separador de milhares 2 10" xfId="312"/>
    <cellStyle name="Separador de milhares 2 11" xfId="313"/>
    <cellStyle name="Separador de milhares 2 12" xfId="314"/>
    <cellStyle name="Separador de milhares 2 13" xfId="315"/>
    <cellStyle name="Separador de milhares 2 14" xfId="316"/>
    <cellStyle name="Separador de milhares 2 15" xfId="317"/>
    <cellStyle name="Separador de milhares 2 16" xfId="318"/>
    <cellStyle name="Separador de milhares 2 17" xfId="319"/>
    <cellStyle name="Separador de milhares 2 18" xfId="320"/>
    <cellStyle name="Separador de milhares 2 19" xfId="321"/>
    <cellStyle name="Separador de milhares 2 2" xfId="322"/>
    <cellStyle name="Separador de milhares 2 20" xfId="323"/>
    <cellStyle name="Separador de milhares 2 21" xfId="324"/>
    <cellStyle name="Separador de milhares 2 3" xfId="325"/>
    <cellStyle name="Separador de milhares 2 4" xfId="326"/>
    <cellStyle name="Separador de milhares 2 5" xfId="327"/>
    <cellStyle name="Separador de milhares 2 6" xfId="328"/>
    <cellStyle name="Separador de milhares 2 7" xfId="329"/>
    <cellStyle name="Separador de milhares 2 8" xfId="330"/>
    <cellStyle name="Separador de milhares 2 9" xfId="331"/>
    <cellStyle name="Separador de milhares 29" xfId="332"/>
    <cellStyle name="Separador de milhares 3" xfId="333"/>
    <cellStyle name="Separador de milhares 3 10" xfId="334"/>
    <cellStyle name="Separador de milhares 3 11" xfId="335"/>
    <cellStyle name="Separador de milhares 3 12" xfId="336"/>
    <cellStyle name="Separador de milhares 3 13" xfId="337"/>
    <cellStyle name="Separador de milhares 3 14" xfId="338"/>
    <cellStyle name="Separador de milhares 3 15" xfId="339"/>
    <cellStyle name="Separador de milhares 3 16" xfId="340"/>
    <cellStyle name="Separador de milhares 3 17" xfId="341"/>
    <cellStyle name="Separador de milhares 3 18" xfId="342"/>
    <cellStyle name="Separador de milhares 3 19" xfId="343"/>
    <cellStyle name="Separador de milhares 3 2" xfId="344"/>
    <cellStyle name="Separador de milhares 3 20" xfId="345"/>
    <cellStyle name="Separador de milhares 3 3" xfId="346"/>
    <cellStyle name="Separador de milhares 3 4" xfId="347"/>
    <cellStyle name="Separador de milhares 3 5" xfId="348"/>
    <cellStyle name="Separador de milhares 3 6" xfId="349"/>
    <cellStyle name="Separador de milhares 3 7" xfId="350"/>
    <cellStyle name="Separador de milhares 3 8" xfId="351"/>
    <cellStyle name="Separador de milhares 3 9" xfId="352"/>
    <cellStyle name="Separador de milhares 4" xfId="353"/>
    <cellStyle name="Separador de milhares 4 10" xfId="354"/>
    <cellStyle name="Separador de milhares 4 11" xfId="355"/>
    <cellStyle name="Separador de milhares 4 12" xfId="356"/>
    <cellStyle name="Separador de milhares 4 13" xfId="357"/>
    <cellStyle name="Separador de milhares 4 14" xfId="358"/>
    <cellStyle name="Separador de milhares 4 15" xfId="359"/>
    <cellStyle name="Separador de milhares 4 16" xfId="360"/>
    <cellStyle name="Separador de milhares 4 17" xfId="361"/>
    <cellStyle name="Separador de milhares 4 18" xfId="362"/>
    <cellStyle name="Separador de milhares 4 19" xfId="363"/>
    <cellStyle name="Separador de milhares 4 2" xfId="364"/>
    <cellStyle name="Separador de milhares 4 20" xfId="365"/>
    <cellStyle name="Separador de milhares 4 3" xfId="366"/>
    <cellStyle name="Separador de milhares 4 4" xfId="367"/>
    <cellStyle name="Separador de milhares 4 5" xfId="368"/>
    <cellStyle name="Separador de milhares 4 6" xfId="369"/>
    <cellStyle name="Separador de milhares 4 7" xfId="370"/>
    <cellStyle name="Separador de milhares 4 8" xfId="371"/>
    <cellStyle name="Separador de milhares 4 9" xfId="372"/>
    <cellStyle name="Separador de milhares 5" xfId="373"/>
    <cellStyle name="Separador de milhares 5 10" xfId="374"/>
    <cellStyle name="Separador de milhares 5 11" xfId="375"/>
    <cellStyle name="Separador de milhares 5 12" xfId="376"/>
    <cellStyle name="Separador de milhares 5 13" xfId="377"/>
    <cellStyle name="Separador de milhares 5 14" xfId="378"/>
    <cellStyle name="Separador de milhares 5 15" xfId="379"/>
    <cellStyle name="Separador de milhares 5 16" xfId="380"/>
    <cellStyle name="Separador de milhares 5 17" xfId="381"/>
    <cellStyle name="Separador de milhares 5 18" xfId="382"/>
    <cellStyle name="Separador de milhares 5 19" xfId="383"/>
    <cellStyle name="Separador de milhares 5 2" xfId="384"/>
    <cellStyle name="Separador de milhares 5 20" xfId="385"/>
    <cellStyle name="Separador de milhares 5 3" xfId="386"/>
    <cellStyle name="Separador de milhares 5 4" xfId="387"/>
    <cellStyle name="Separador de milhares 5 5" xfId="388"/>
    <cellStyle name="Separador de milhares 5 6" xfId="389"/>
    <cellStyle name="Separador de milhares 5 7" xfId="390"/>
    <cellStyle name="Separador de milhares 5 8" xfId="391"/>
    <cellStyle name="Separador de milhares 5 9" xfId="392"/>
    <cellStyle name="Separador de milhares 6" xfId="393"/>
    <cellStyle name="Separador de milhares 6 10" xfId="394"/>
    <cellStyle name="Separador de milhares 6 11" xfId="395"/>
    <cellStyle name="Separador de milhares 6 12" xfId="396"/>
    <cellStyle name="Separador de milhares 6 13" xfId="397"/>
    <cellStyle name="Separador de milhares 6 14" xfId="398"/>
    <cellStyle name="Separador de milhares 6 15" xfId="399"/>
    <cellStyle name="Separador de milhares 6 16" xfId="400"/>
    <cellStyle name="Separador de milhares 6 17" xfId="401"/>
    <cellStyle name="Separador de milhares 6 18" xfId="402"/>
    <cellStyle name="Separador de milhares 6 19" xfId="403"/>
    <cellStyle name="Separador de milhares 6 2" xfId="404"/>
    <cellStyle name="Separador de milhares 6 20" xfId="405"/>
    <cellStyle name="Separador de milhares 6 3" xfId="406"/>
    <cellStyle name="Separador de milhares 6 4" xfId="407"/>
    <cellStyle name="Separador de milhares 6 5" xfId="408"/>
    <cellStyle name="Separador de milhares 6 6" xfId="409"/>
    <cellStyle name="Separador de milhares 6 7" xfId="410"/>
    <cellStyle name="Separador de milhares 6 8" xfId="411"/>
    <cellStyle name="Separador de milhares 6 9" xfId="412"/>
    <cellStyle name="Separador de milhares 7" xfId="413"/>
    <cellStyle name="Separador de milhares 7 10" xfId="414"/>
    <cellStyle name="Separador de milhares 7 11" xfId="415"/>
    <cellStyle name="Separador de milhares 7 12" xfId="416"/>
    <cellStyle name="Separador de milhares 7 13" xfId="417"/>
    <cellStyle name="Separador de milhares 7 14" xfId="418"/>
    <cellStyle name="Separador de milhares 7 15" xfId="419"/>
    <cellStyle name="Separador de milhares 7 16" xfId="420"/>
    <cellStyle name="Separador de milhares 7 17" xfId="421"/>
    <cellStyle name="Separador de milhares 7 18" xfId="422"/>
    <cellStyle name="Separador de milhares 7 19" xfId="423"/>
    <cellStyle name="Separador de milhares 7 2" xfId="424"/>
    <cellStyle name="Separador de milhares 7 20" xfId="425"/>
    <cellStyle name="Separador de milhares 7 3" xfId="426"/>
    <cellStyle name="Separador de milhares 7 4" xfId="427"/>
    <cellStyle name="Separador de milhares 7 5" xfId="428"/>
    <cellStyle name="Separador de milhares 7 6" xfId="429"/>
    <cellStyle name="Separador de milhares 7 7" xfId="430"/>
    <cellStyle name="Separador de milhares 7 8" xfId="431"/>
    <cellStyle name="Separador de milhares 7 9" xfId="432"/>
    <cellStyle name="Separador de milhares 8" xfId="433"/>
    <cellStyle name="Separador de milhares 9" xfId="434"/>
    <cellStyle name="Separador de milhares 9 2" xfId="435"/>
    <cellStyle name="Texto de Aviso" xfId="436"/>
    <cellStyle name="Texto Explicativo" xfId="437"/>
    <cellStyle name="Título" xfId="438"/>
    <cellStyle name="Título 1" xfId="439"/>
    <cellStyle name="Título 2" xfId="440"/>
    <cellStyle name="Título 3" xfId="441"/>
    <cellStyle name="Título 4" xfId="442"/>
    <cellStyle name="Total" xfId="443"/>
    <cellStyle name="Vírgula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1</xdr:row>
      <xdr:rowOff>9525</xdr:rowOff>
    </xdr:from>
    <xdr:to>
      <xdr:col>4</xdr:col>
      <xdr:colOff>866775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33725" y="238125"/>
          <a:ext cx="443865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190500</xdr:colOff>
      <xdr:row>1</xdr:row>
      <xdr:rowOff>9525</xdr:rowOff>
    </xdr:from>
    <xdr:to>
      <xdr:col>2</xdr:col>
      <xdr:colOff>1695450</xdr:colOff>
      <xdr:row>6</xdr:row>
      <xdr:rowOff>200025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9525</xdr:rowOff>
    </xdr:from>
    <xdr:to>
      <xdr:col>4</xdr:col>
      <xdr:colOff>885825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09925" y="200025"/>
          <a:ext cx="265747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47625</xdr:rowOff>
    </xdr:from>
    <xdr:to>
      <xdr:col>2</xdr:col>
      <xdr:colOff>1581150</xdr:colOff>
      <xdr:row>6</xdr:row>
      <xdr:rowOff>38100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4</xdr:col>
      <xdr:colOff>3552825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81600" y="219075"/>
          <a:ext cx="4076700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2</xdr:col>
      <xdr:colOff>704850</xdr:colOff>
      <xdr:row>1</xdr:row>
      <xdr:rowOff>57150</xdr:rowOff>
    </xdr:from>
    <xdr:to>
      <xdr:col>2</xdr:col>
      <xdr:colOff>2219325</xdr:colOff>
      <xdr:row>6</xdr:row>
      <xdr:rowOff>152400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71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</xdr:row>
      <xdr:rowOff>0</xdr:rowOff>
    </xdr:from>
    <xdr:to>
      <xdr:col>3</xdr:col>
      <xdr:colOff>9525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19375" y="228600"/>
          <a:ext cx="25527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533400</xdr:colOff>
      <xdr:row>1</xdr:row>
      <xdr:rowOff>114300</xdr:rowOff>
    </xdr:from>
    <xdr:to>
      <xdr:col>2</xdr:col>
      <xdr:colOff>790575</xdr:colOff>
      <xdr:row>6</xdr:row>
      <xdr:rowOff>190500</xdr:rowOff>
    </xdr:to>
    <xdr:pic>
      <xdr:nvPicPr>
        <xdr:cNvPr id="2" name="Imagem 4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290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27</xdr:row>
      <xdr:rowOff>142875</xdr:rowOff>
    </xdr:from>
    <xdr:to>
      <xdr:col>6</xdr:col>
      <xdr:colOff>209550</xdr:colOff>
      <xdr:row>37</xdr:row>
      <xdr:rowOff>228600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600200" y="5219700"/>
          <a:ext cx="5514975" cy="2371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73</xdr:row>
      <xdr:rowOff>104775</xdr:rowOff>
    </xdr:from>
    <xdr:to>
      <xdr:col>17</xdr:col>
      <xdr:colOff>304800</xdr:colOff>
      <xdr:row>104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916275"/>
          <a:ext cx="80486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114300</xdr:rowOff>
    </xdr:from>
    <xdr:to>
      <xdr:col>21</xdr:col>
      <xdr:colOff>190500</xdr:colOff>
      <xdr:row>43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4791075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23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085850"/>
          <a:ext cx="7439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45</xdr:row>
      <xdr:rowOff>114300</xdr:rowOff>
    </xdr:from>
    <xdr:to>
      <xdr:col>21</xdr:col>
      <xdr:colOff>161925</xdr:colOff>
      <xdr:row>58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05925" y="9391650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2009775</xdr:colOff>
      <xdr:row>2</xdr:row>
      <xdr:rowOff>9525</xdr:rowOff>
    </xdr:from>
    <xdr:to>
      <xdr:col>3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19375" y="390525"/>
          <a:ext cx="180022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1</xdr:col>
      <xdr:colOff>1790700</xdr:colOff>
      <xdr:row>7</xdr:row>
      <xdr:rowOff>180975</xdr:rowOff>
    </xdr:to>
    <xdr:pic>
      <xdr:nvPicPr>
        <xdr:cNvPr id="7" name="Imagem 9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428625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2</xdr:col>
      <xdr:colOff>533400</xdr:colOff>
      <xdr:row>6</xdr:row>
      <xdr:rowOff>104775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38125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118"/>
  <sheetViews>
    <sheetView showGridLines="0" view="pageBreakPreview" zoomScale="87" zoomScaleSheetLayoutView="87" zoomScalePageLayoutView="0" workbookViewId="0" topLeftCell="A13">
      <pane ySplit="1275" topLeftCell="A7" activePane="bottomLeft" state="split"/>
      <selection pane="topLeft" activeCell="M14" sqref="M14"/>
      <selection pane="bottomLeft" activeCell="B10" sqref="B10:E10"/>
    </sheetView>
  </sheetViews>
  <sheetFormatPr defaultColWidth="9.140625" defaultRowHeight="18" customHeight="1"/>
  <cols>
    <col min="1" max="1" width="4.7109375" style="1" customWidth="1"/>
    <col min="2" max="2" width="9.00390625" style="3" customWidth="1"/>
    <col min="3" max="3" width="71.28125" style="1" customWidth="1"/>
    <col min="4" max="4" width="15.57421875" style="1" customWidth="1"/>
    <col min="5" max="5" width="13.140625" style="1" customWidth="1"/>
    <col min="6" max="6" width="10.28125" style="2" customWidth="1"/>
    <col min="7" max="7" width="15.140625" style="18" customWidth="1"/>
    <col min="8" max="8" width="14.00390625" style="25" customWidth="1"/>
    <col min="9" max="10" width="17.7109375" style="18" customWidth="1"/>
    <col min="11" max="11" width="12.57421875" style="16" customWidth="1"/>
    <col min="12" max="12" width="12.7109375" style="14" customWidth="1"/>
    <col min="13" max="13" width="41.57421875" style="1" customWidth="1"/>
    <col min="14" max="14" width="13.28125" style="1" bestFit="1" customWidth="1"/>
    <col min="15" max="16384" width="9.140625" style="1" customWidth="1"/>
  </cols>
  <sheetData>
    <row r="2" spans="2:12" ht="18" customHeight="1">
      <c r="B2" s="5"/>
      <c r="C2" s="6"/>
      <c r="D2" s="6"/>
      <c r="E2" s="6"/>
      <c r="F2" s="531" t="s">
        <v>40</v>
      </c>
      <c r="G2" s="531"/>
      <c r="H2" s="531"/>
      <c r="I2" s="531"/>
      <c r="J2" s="531"/>
      <c r="K2" s="531"/>
      <c r="L2" s="531"/>
    </row>
    <row r="3" spans="2:12" ht="18" customHeight="1">
      <c r="B3" s="7"/>
      <c r="C3" s="8"/>
      <c r="D3" s="8"/>
      <c r="E3" s="8"/>
      <c r="F3" s="531"/>
      <c r="G3" s="531"/>
      <c r="H3" s="531"/>
      <c r="I3" s="531"/>
      <c r="J3" s="531"/>
      <c r="K3" s="531"/>
      <c r="L3" s="531"/>
    </row>
    <row r="4" spans="2:12" ht="18" customHeight="1">
      <c r="B4" s="7"/>
      <c r="C4" s="8"/>
      <c r="D4" s="8"/>
      <c r="E4" s="8"/>
      <c r="F4" s="532" t="s">
        <v>41</v>
      </c>
      <c r="G4" s="532"/>
      <c r="H4" s="532"/>
      <c r="I4" s="532"/>
      <c r="J4" s="532"/>
      <c r="K4" s="532"/>
      <c r="L4" s="532"/>
    </row>
    <row r="5" spans="2:12" ht="18" customHeight="1">
      <c r="B5" s="7"/>
      <c r="C5" s="8"/>
      <c r="D5" s="8"/>
      <c r="E5" s="8"/>
      <c r="F5" s="532"/>
      <c r="G5" s="532"/>
      <c r="H5" s="532"/>
      <c r="I5" s="532"/>
      <c r="J5" s="532"/>
      <c r="K5" s="532"/>
      <c r="L5" s="532"/>
    </row>
    <row r="6" spans="2:12" ht="18" customHeight="1">
      <c r="B6" s="7"/>
      <c r="C6" s="8"/>
      <c r="D6" s="8"/>
      <c r="E6" s="8"/>
      <c r="F6" s="533" t="s">
        <v>28</v>
      </c>
      <c r="G6" s="533"/>
      <c r="H6" s="533"/>
      <c r="I6" s="533"/>
      <c r="J6" s="533"/>
      <c r="K6" s="533"/>
      <c r="L6" s="533"/>
    </row>
    <row r="7" spans="2:12" ht="18" customHeight="1">
      <c r="B7" s="9"/>
      <c r="C7" s="10"/>
      <c r="D7" s="10"/>
      <c r="E7" s="10"/>
      <c r="F7" s="533"/>
      <c r="G7" s="533"/>
      <c r="H7" s="533"/>
      <c r="I7" s="533"/>
      <c r="J7" s="533"/>
      <c r="K7" s="533"/>
      <c r="L7" s="533"/>
    </row>
    <row r="8" spans="2:12" ht="4.5" customHeight="1">
      <c r="B8" s="11"/>
      <c r="C8" s="12"/>
      <c r="D8" s="12"/>
      <c r="E8" s="12"/>
      <c r="F8" s="11"/>
      <c r="G8" s="17"/>
      <c r="H8" s="23"/>
      <c r="I8" s="17"/>
      <c r="J8" s="17"/>
      <c r="K8" s="15"/>
      <c r="L8" s="13"/>
    </row>
    <row r="9" spans="2:12" ht="24" customHeight="1">
      <c r="B9" s="523" t="s">
        <v>266</v>
      </c>
      <c r="C9" s="524"/>
      <c r="D9" s="524"/>
      <c r="E9" s="524"/>
      <c r="F9" s="523" t="s">
        <v>268</v>
      </c>
      <c r="G9" s="524"/>
      <c r="H9" s="524"/>
      <c r="I9" s="524"/>
      <c r="J9" s="524"/>
      <c r="K9" s="524"/>
      <c r="L9" s="525"/>
    </row>
    <row r="10" spans="2:12" ht="24" customHeight="1">
      <c r="B10" s="523" t="s">
        <v>267</v>
      </c>
      <c r="C10" s="524"/>
      <c r="D10" s="524"/>
      <c r="E10" s="524"/>
      <c r="F10" s="526" t="s">
        <v>269</v>
      </c>
      <c r="G10" s="527"/>
      <c r="H10" s="527"/>
      <c r="I10" s="527"/>
      <c r="J10" s="527"/>
      <c r="K10" s="527"/>
      <c r="L10" s="528"/>
    </row>
    <row r="11" spans="2:12" s="4" customFormat="1" ht="4.5" customHeight="1" thickBot="1">
      <c r="B11" s="518"/>
      <c r="C11" s="519"/>
      <c r="D11" s="155"/>
      <c r="E11" s="155"/>
      <c r="F11" s="154"/>
      <c r="G11" s="142"/>
      <c r="H11" s="24"/>
      <c r="I11" s="142"/>
      <c r="J11" s="142"/>
      <c r="K11" s="143"/>
      <c r="L11" s="144"/>
    </row>
    <row r="12" spans="2:12" ht="24.75" customHeight="1" thickBot="1">
      <c r="B12" s="520" t="s">
        <v>25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2"/>
    </row>
    <row r="13" ht="4.5" customHeight="1" thickBot="1"/>
    <row r="14" spans="2:13" ht="30" customHeight="1" thickBot="1">
      <c r="B14" s="541" t="s">
        <v>2</v>
      </c>
      <c r="C14" s="544" t="s">
        <v>3</v>
      </c>
      <c r="D14" s="544" t="s">
        <v>33</v>
      </c>
      <c r="E14" s="529" t="s">
        <v>34</v>
      </c>
      <c r="F14" s="544" t="s">
        <v>4</v>
      </c>
      <c r="G14" s="546" t="s">
        <v>5</v>
      </c>
      <c r="H14" s="548" t="s">
        <v>12</v>
      </c>
      <c r="I14" s="384" t="s">
        <v>73</v>
      </c>
      <c r="J14" s="534" t="s">
        <v>37</v>
      </c>
      <c r="K14" s="534" t="s">
        <v>38</v>
      </c>
      <c r="L14" s="536" t="s">
        <v>29</v>
      </c>
      <c r="M14" s="452">
        <f>K108</f>
        <v>100865.07</v>
      </c>
    </row>
    <row r="15" spans="2:12" ht="24" customHeight="1" thickBot="1">
      <c r="B15" s="542"/>
      <c r="C15" s="545"/>
      <c r="D15" s="545"/>
      <c r="E15" s="530"/>
      <c r="F15" s="545"/>
      <c r="G15" s="547"/>
      <c r="H15" s="549"/>
      <c r="I15" s="385">
        <f>BDI!D46</f>
        <v>24.93</v>
      </c>
      <c r="J15" s="535"/>
      <c r="K15" s="535"/>
      <c r="L15" s="537"/>
    </row>
    <row r="16" spans="2:12" ht="4.5" customHeight="1" thickBot="1">
      <c r="B16" s="162"/>
      <c r="C16" s="163"/>
      <c r="D16" s="163"/>
      <c r="E16" s="163"/>
      <c r="F16" s="164"/>
      <c r="G16" s="165"/>
      <c r="H16" s="166"/>
      <c r="I16" s="165"/>
      <c r="J16" s="165"/>
      <c r="K16" s="167"/>
      <c r="L16" s="168"/>
    </row>
    <row r="17" spans="2:12" ht="18" customHeight="1" thickBot="1">
      <c r="B17" s="388" t="s">
        <v>6</v>
      </c>
      <c r="C17" s="389" t="s">
        <v>7</v>
      </c>
      <c r="D17" s="390"/>
      <c r="E17" s="390"/>
      <c r="F17" s="391"/>
      <c r="G17" s="392"/>
      <c r="H17" s="392"/>
      <c r="I17" s="392"/>
      <c r="J17" s="393"/>
      <c r="K17" s="394">
        <f>SUM(J18:J19)</f>
        <v>7268.91</v>
      </c>
      <c r="L17" s="395">
        <f>K17/$K$108</f>
        <v>0.072065681409828</v>
      </c>
    </row>
    <row r="18" spans="2:12" s="19" customFormat="1" ht="18" customHeight="1">
      <c r="B18" s="200" t="s">
        <v>219</v>
      </c>
      <c r="C18" s="386" t="s">
        <v>26</v>
      </c>
      <c r="D18" s="387" t="s">
        <v>35</v>
      </c>
      <c r="E18" s="387" t="s">
        <v>36</v>
      </c>
      <c r="F18" s="201" t="s">
        <v>0</v>
      </c>
      <c r="G18" s="170">
        <f>'Memorial de Cálculo'!L18</f>
        <v>4.5</v>
      </c>
      <c r="H18" s="193">
        <v>216.66</v>
      </c>
      <c r="I18" s="170">
        <f>ROUND(H18*($I$15/100+1),2)</f>
        <v>270.67</v>
      </c>
      <c r="J18" s="170">
        <f>ROUND(G18*I18,2)</f>
        <v>1218.02</v>
      </c>
      <c r="K18" s="318"/>
      <c r="L18" s="319"/>
    </row>
    <row r="19" spans="2:12" s="19" customFormat="1" ht="16.5" thickBot="1">
      <c r="B19" s="396" t="s">
        <v>220</v>
      </c>
      <c r="C19" s="268" t="s">
        <v>280</v>
      </c>
      <c r="D19" s="308" t="s">
        <v>35</v>
      </c>
      <c r="E19" s="308" t="s">
        <v>281</v>
      </c>
      <c r="F19" s="201" t="s">
        <v>0</v>
      </c>
      <c r="G19" s="339">
        <f>'Memorial de Cálculo'!L20</f>
        <v>1596.54</v>
      </c>
      <c r="H19" s="454">
        <v>3.03</v>
      </c>
      <c r="I19" s="293">
        <f>ROUND(H19*($I$15/100+1),2)</f>
        <v>3.79</v>
      </c>
      <c r="J19" s="293">
        <f>ROUND(G19*I19,2)</f>
        <v>6050.89</v>
      </c>
      <c r="K19" s="412"/>
      <c r="L19" s="348"/>
    </row>
    <row r="20" spans="2:12" s="19" customFormat="1" ht="16.5" thickBot="1">
      <c r="B20" s="388" t="s">
        <v>57</v>
      </c>
      <c r="C20" s="389" t="s">
        <v>260</v>
      </c>
      <c r="D20" s="390"/>
      <c r="E20" s="390"/>
      <c r="F20" s="391"/>
      <c r="G20" s="392"/>
      <c r="H20" s="392"/>
      <c r="I20" s="392"/>
      <c r="J20" s="393"/>
      <c r="K20" s="394">
        <f>SUM(J21:J32)</f>
        <v>16038.060000000001</v>
      </c>
      <c r="L20" s="395">
        <f>K20/$K$108</f>
        <v>0.1590050946279024</v>
      </c>
    </row>
    <row r="21" spans="2:12" s="19" customFormat="1" ht="15.75">
      <c r="B21" s="200" t="s">
        <v>221</v>
      </c>
      <c r="C21" s="306" t="s">
        <v>270</v>
      </c>
      <c r="D21" s="307" t="s">
        <v>43</v>
      </c>
      <c r="E21" s="499" t="s">
        <v>440</v>
      </c>
      <c r="F21" s="201" t="s">
        <v>0</v>
      </c>
      <c r="G21" s="170">
        <f>'Memorial de Cálculo'!L28</f>
        <v>106.38</v>
      </c>
      <c r="H21" s="500">
        <v>4.18</v>
      </c>
      <c r="I21" s="170">
        <f>ROUND(H21*($I$15/100+1),2)</f>
        <v>5.22</v>
      </c>
      <c r="J21" s="170">
        <f aca="true" t="shared" si="0" ref="J21:J32">ROUND(G21*I21,2)</f>
        <v>555.3</v>
      </c>
      <c r="K21" s="501"/>
      <c r="L21" s="502"/>
    </row>
    <row r="22" spans="2:12" s="19" customFormat="1" ht="15.75">
      <c r="B22" s="345" t="s">
        <v>222</v>
      </c>
      <c r="C22" s="426" t="s">
        <v>271</v>
      </c>
      <c r="D22" s="433" t="s">
        <v>35</v>
      </c>
      <c r="E22" s="291">
        <v>85372</v>
      </c>
      <c r="F22" s="201" t="s">
        <v>0</v>
      </c>
      <c r="G22" s="199">
        <f>'Memorial de Cálculo'!L38</f>
        <v>68.10000000000001</v>
      </c>
      <c r="H22" s="350">
        <v>1.51</v>
      </c>
      <c r="I22" s="199">
        <f>ROUND(H22*($I$15/100+1),2)</f>
        <v>1.89</v>
      </c>
      <c r="J22" s="199">
        <f t="shared" si="0"/>
        <v>128.71</v>
      </c>
      <c r="K22" s="435"/>
      <c r="L22" s="348"/>
    </row>
    <row r="23" spans="2:12" s="19" customFormat="1" ht="15.75">
      <c r="B23" s="345" t="s">
        <v>223</v>
      </c>
      <c r="C23" s="426" t="s">
        <v>272</v>
      </c>
      <c r="D23" s="433" t="s">
        <v>39</v>
      </c>
      <c r="E23" s="291" t="s">
        <v>315</v>
      </c>
      <c r="F23" s="201" t="s">
        <v>0</v>
      </c>
      <c r="G23" s="199">
        <f>'Memorial de Cálculo'!L42</f>
        <v>2.61</v>
      </c>
      <c r="H23" s="350">
        <v>6.7</v>
      </c>
      <c r="I23" s="199">
        <f>ROUND(H23*($I$15/100+1),2)</f>
        <v>8.37</v>
      </c>
      <c r="J23" s="199">
        <f t="shared" si="0"/>
        <v>21.85</v>
      </c>
      <c r="K23" s="435"/>
      <c r="L23" s="348"/>
    </row>
    <row r="24" spans="2:12" s="19" customFormat="1" ht="15.75">
      <c r="B24" s="345" t="s">
        <v>224</v>
      </c>
      <c r="C24" s="426" t="s">
        <v>273</v>
      </c>
      <c r="D24" s="433" t="s">
        <v>39</v>
      </c>
      <c r="E24" s="291" t="s">
        <v>316</v>
      </c>
      <c r="F24" s="201" t="s">
        <v>0</v>
      </c>
      <c r="G24" s="199">
        <f>'Memorial de Cálculo'!L48</f>
        <v>36.544000000000004</v>
      </c>
      <c r="H24" s="350">
        <v>23.93</v>
      </c>
      <c r="I24" s="199">
        <f>ROUND(H24*($I$15/100+1),2)</f>
        <v>29.9</v>
      </c>
      <c r="J24" s="199">
        <f t="shared" si="0"/>
        <v>1092.67</v>
      </c>
      <c r="K24" s="435"/>
      <c r="L24" s="348"/>
    </row>
    <row r="25" spans="2:12" s="19" customFormat="1" ht="15.75">
      <c r="B25" s="345" t="s">
        <v>274</v>
      </c>
      <c r="C25" s="338" t="s">
        <v>291</v>
      </c>
      <c r="D25" s="433" t="s">
        <v>35</v>
      </c>
      <c r="E25" s="291">
        <v>72125</v>
      </c>
      <c r="F25" s="201" t="s">
        <v>0</v>
      </c>
      <c r="G25" s="199">
        <f>'Memorial de Cálculo'!L58</f>
        <v>1346.5354</v>
      </c>
      <c r="H25" s="350">
        <v>5.36</v>
      </c>
      <c r="I25" s="199">
        <f>ROUND(H25*($I$15/100+1),2)</f>
        <v>6.7</v>
      </c>
      <c r="J25" s="199">
        <f t="shared" si="0"/>
        <v>9021.79</v>
      </c>
      <c r="K25" s="197"/>
      <c r="L25" s="198"/>
    </row>
    <row r="26" spans="2:12" s="19" customFormat="1" ht="15.75">
      <c r="B26" s="345" t="s">
        <v>225</v>
      </c>
      <c r="C26" s="338" t="s">
        <v>292</v>
      </c>
      <c r="D26" s="433" t="s">
        <v>35</v>
      </c>
      <c r="E26" s="291">
        <v>85334</v>
      </c>
      <c r="F26" s="201" t="s">
        <v>0</v>
      </c>
      <c r="G26" s="199">
        <f>'Memorial de Cálculo'!L63</f>
        <v>3.0700000000000003</v>
      </c>
      <c r="H26" s="350">
        <v>10.11</v>
      </c>
      <c r="I26" s="199">
        <f aca="true" t="shared" si="1" ref="I26:I36">ROUND(H26*($I$15/100+1),2)</f>
        <v>12.63</v>
      </c>
      <c r="J26" s="199">
        <f t="shared" si="0"/>
        <v>38.77</v>
      </c>
      <c r="K26" s="197"/>
      <c r="L26" s="198"/>
    </row>
    <row r="27" spans="2:12" s="19" customFormat="1" ht="15.75">
      <c r="B27" s="345" t="s">
        <v>277</v>
      </c>
      <c r="C27" s="338" t="s">
        <v>294</v>
      </c>
      <c r="D27" s="433" t="s">
        <v>35</v>
      </c>
      <c r="E27" s="291">
        <v>72231</v>
      </c>
      <c r="F27" s="201" t="s">
        <v>0</v>
      </c>
      <c r="G27" s="199">
        <f>'Memorial de Cálculo'!L66</f>
        <v>6.2985299999999995</v>
      </c>
      <c r="H27" s="350">
        <v>3.54</v>
      </c>
      <c r="I27" s="199">
        <f t="shared" si="1"/>
        <v>4.42</v>
      </c>
      <c r="J27" s="199">
        <f t="shared" si="0"/>
        <v>27.84</v>
      </c>
      <c r="K27" s="197"/>
      <c r="L27" s="198"/>
    </row>
    <row r="28" spans="2:12" s="19" customFormat="1" ht="15.75">
      <c r="B28" s="345" t="s">
        <v>278</v>
      </c>
      <c r="C28" s="338" t="s">
        <v>310</v>
      </c>
      <c r="D28" s="433" t="s">
        <v>35</v>
      </c>
      <c r="E28" s="291">
        <v>72227</v>
      </c>
      <c r="F28" s="201" t="s">
        <v>0</v>
      </c>
      <c r="G28" s="199">
        <f>'Memorial de Cálculo'!L69</f>
        <v>6.2985299999999995</v>
      </c>
      <c r="H28" s="350">
        <v>4.57</v>
      </c>
      <c r="I28" s="199">
        <f t="shared" si="1"/>
        <v>5.71</v>
      </c>
      <c r="J28" s="199">
        <f t="shared" si="0"/>
        <v>35.96</v>
      </c>
      <c r="K28" s="197"/>
      <c r="L28" s="198"/>
    </row>
    <row r="29" spans="2:12" s="476" customFormat="1" ht="15.75">
      <c r="B29" s="345" t="s">
        <v>293</v>
      </c>
      <c r="C29" s="338" t="s">
        <v>275</v>
      </c>
      <c r="D29" s="291" t="s">
        <v>35</v>
      </c>
      <c r="E29" s="291">
        <v>85333</v>
      </c>
      <c r="F29" s="178" t="s">
        <v>1</v>
      </c>
      <c r="G29" s="199">
        <f>'Memorial de Cálculo'!L72</f>
        <v>6</v>
      </c>
      <c r="H29" s="350">
        <v>11.51</v>
      </c>
      <c r="I29" s="199">
        <f t="shared" si="1"/>
        <v>14.38</v>
      </c>
      <c r="J29" s="199">
        <f t="shared" si="0"/>
        <v>86.28</v>
      </c>
      <c r="K29" s="197"/>
      <c r="L29" s="198"/>
    </row>
    <row r="30" spans="2:12" s="476" customFormat="1" ht="15.75">
      <c r="B30" s="345" t="s">
        <v>295</v>
      </c>
      <c r="C30" s="338" t="s">
        <v>276</v>
      </c>
      <c r="D30" s="291" t="s">
        <v>35</v>
      </c>
      <c r="E30" s="291">
        <v>85407</v>
      </c>
      <c r="F30" s="178" t="s">
        <v>27</v>
      </c>
      <c r="G30" s="199">
        <f>'Memorial de Cálculo'!L75</f>
        <v>193.54000000000002</v>
      </c>
      <c r="H30" s="350">
        <v>6.04</v>
      </c>
      <c r="I30" s="199">
        <f t="shared" si="1"/>
        <v>7.55</v>
      </c>
      <c r="J30" s="199">
        <f t="shared" si="0"/>
        <v>1461.23</v>
      </c>
      <c r="K30" s="197"/>
      <c r="L30" s="198"/>
    </row>
    <row r="31" spans="2:12" s="476" customFormat="1" ht="15.75">
      <c r="B31" s="345" t="s">
        <v>306</v>
      </c>
      <c r="C31" s="338" t="s">
        <v>305</v>
      </c>
      <c r="D31" s="291" t="s">
        <v>35</v>
      </c>
      <c r="E31" s="291">
        <v>85332</v>
      </c>
      <c r="F31" s="178" t="s">
        <v>1</v>
      </c>
      <c r="G31" s="199">
        <f>'Memorial de Cálculo'!L78</f>
        <v>25</v>
      </c>
      <c r="H31" s="350">
        <v>3.22</v>
      </c>
      <c r="I31" s="199">
        <f t="shared" si="1"/>
        <v>4.02</v>
      </c>
      <c r="J31" s="199">
        <f t="shared" si="0"/>
        <v>100.5</v>
      </c>
      <c r="K31" s="197"/>
      <c r="L31" s="198"/>
    </row>
    <row r="32" spans="2:12" s="19" customFormat="1" ht="16.5" thickBot="1">
      <c r="B32" s="432" t="s">
        <v>308</v>
      </c>
      <c r="C32" s="436" t="s">
        <v>307</v>
      </c>
      <c r="D32" s="477" t="s">
        <v>35</v>
      </c>
      <c r="E32" s="477" t="s">
        <v>341</v>
      </c>
      <c r="F32" s="337" t="s">
        <v>16</v>
      </c>
      <c r="G32" s="339">
        <f>'Memorial de Cálculo'!L89</f>
        <v>124.22639489000001</v>
      </c>
      <c r="H32" s="467">
        <v>22.34</v>
      </c>
      <c r="I32" s="199">
        <f t="shared" si="1"/>
        <v>27.91</v>
      </c>
      <c r="J32" s="199">
        <f t="shared" si="0"/>
        <v>3467.16</v>
      </c>
      <c r="K32" s="412"/>
      <c r="L32" s="348"/>
    </row>
    <row r="33" spans="2:12" s="19" customFormat="1" ht="16.5" thickBot="1">
      <c r="B33" s="399" t="s">
        <v>301</v>
      </c>
      <c r="C33" s="389" t="s">
        <v>304</v>
      </c>
      <c r="D33" s="390"/>
      <c r="E33" s="400"/>
      <c r="F33" s="391"/>
      <c r="G33" s="392"/>
      <c r="H33" s="392"/>
      <c r="I33" s="392"/>
      <c r="J33" s="393"/>
      <c r="K33" s="401">
        <f>SUM(J34:J36)</f>
        <v>848.86</v>
      </c>
      <c r="L33" s="395">
        <f>K33/$K$108</f>
        <v>0.008415797460904949</v>
      </c>
    </row>
    <row r="34" spans="2:12" s="19" customFormat="1" ht="15.75">
      <c r="B34" s="289" t="s">
        <v>302</v>
      </c>
      <c r="C34" s="344" t="s">
        <v>342</v>
      </c>
      <c r="D34" s="433" t="s">
        <v>35</v>
      </c>
      <c r="E34" s="299">
        <v>72110</v>
      </c>
      <c r="F34" s="231" t="s">
        <v>0</v>
      </c>
      <c r="G34" s="199">
        <f>'Memorial de Cálculo'!L93</f>
        <v>4.2462</v>
      </c>
      <c r="H34" s="350">
        <v>62.9</v>
      </c>
      <c r="I34" s="199">
        <f t="shared" si="1"/>
        <v>78.58</v>
      </c>
      <c r="J34" s="199">
        <f>ROUND(G34*I34,2)</f>
        <v>333.67</v>
      </c>
      <c r="K34" s="197"/>
      <c r="L34" s="198"/>
    </row>
    <row r="35" spans="2:12" s="19" customFormat="1" ht="15.75">
      <c r="B35" s="289" t="s">
        <v>303</v>
      </c>
      <c r="C35" s="290" t="s">
        <v>344</v>
      </c>
      <c r="D35" s="433" t="s">
        <v>35</v>
      </c>
      <c r="E35" s="178">
        <v>55960</v>
      </c>
      <c r="F35" s="231" t="s">
        <v>0</v>
      </c>
      <c r="G35" s="199">
        <f>'Memorial de Cálculo'!L96</f>
        <v>4.2462</v>
      </c>
      <c r="H35" s="350">
        <v>4.12</v>
      </c>
      <c r="I35" s="199">
        <f t="shared" si="1"/>
        <v>5.15</v>
      </c>
      <c r="J35" s="199">
        <f>ROUND(G35*I35,2)</f>
        <v>21.87</v>
      </c>
      <c r="K35" s="197"/>
      <c r="L35" s="198"/>
    </row>
    <row r="36" spans="2:12" s="19" customFormat="1" ht="45.75" thickBot="1">
      <c r="B36" s="289" t="s">
        <v>343</v>
      </c>
      <c r="C36" s="465" t="s">
        <v>299</v>
      </c>
      <c r="D36" s="341" t="s">
        <v>43</v>
      </c>
      <c r="E36" s="466" t="s">
        <v>300</v>
      </c>
      <c r="F36" s="341" t="s">
        <v>0</v>
      </c>
      <c r="G36" s="340">
        <f>'Memorial de Cálculo'!L99</f>
        <v>4.2462</v>
      </c>
      <c r="H36" s="478">
        <v>93</v>
      </c>
      <c r="I36" s="293">
        <f t="shared" si="1"/>
        <v>116.18</v>
      </c>
      <c r="J36" s="293">
        <f>ROUND(G36*I36,2)</f>
        <v>493.32</v>
      </c>
      <c r="K36" s="479"/>
      <c r="L36" s="434"/>
    </row>
    <row r="37" spans="2:12" s="22" customFormat="1" ht="18" customHeight="1" thickBot="1">
      <c r="B37" s="399" t="s">
        <v>348</v>
      </c>
      <c r="C37" s="389" t="s">
        <v>175</v>
      </c>
      <c r="D37" s="390"/>
      <c r="E37" s="400"/>
      <c r="F37" s="391"/>
      <c r="G37" s="392"/>
      <c r="H37" s="392"/>
      <c r="I37" s="392"/>
      <c r="J37" s="393"/>
      <c r="K37" s="401">
        <f>SUM(J38:J38)</f>
        <v>181.9</v>
      </c>
      <c r="L37" s="395">
        <f>K37/$K$108</f>
        <v>0.0018033993333866718</v>
      </c>
    </row>
    <row r="38" spans="2:12" s="22" customFormat="1" ht="30.75" thickBot="1">
      <c r="B38" s="169" t="s">
        <v>349</v>
      </c>
      <c r="C38" s="290" t="s">
        <v>203</v>
      </c>
      <c r="D38" s="291" t="s">
        <v>39</v>
      </c>
      <c r="E38" s="289" t="s">
        <v>202</v>
      </c>
      <c r="F38" s="178" t="s">
        <v>0</v>
      </c>
      <c r="G38" s="199">
        <f>'Memorial de Cálculo'!L104</f>
        <v>4.12</v>
      </c>
      <c r="H38" s="292">
        <v>35.34</v>
      </c>
      <c r="I38" s="293">
        <f>ROUND(H38*($I$15/100+1),2)</f>
        <v>44.15</v>
      </c>
      <c r="J38" s="293">
        <f>ROUND(G38*I38,2)</f>
        <v>181.9</v>
      </c>
      <c r="K38" s="294"/>
      <c r="L38" s="198"/>
    </row>
    <row r="39" spans="2:12" s="19" customFormat="1" ht="16.5" thickBot="1">
      <c r="B39" s="399" t="s">
        <v>8</v>
      </c>
      <c r="C39" s="389" t="s">
        <v>227</v>
      </c>
      <c r="D39" s="390"/>
      <c r="E39" s="400"/>
      <c r="F39" s="391"/>
      <c r="G39" s="392"/>
      <c r="H39" s="392"/>
      <c r="I39" s="392"/>
      <c r="J39" s="393"/>
      <c r="K39" s="401">
        <f>SUM(J40:J41)</f>
        <v>1170.81</v>
      </c>
      <c r="L39" s="395">
        <f>K39/$K$108</f>
        <v>0.011607685395945295</v>
      </c>
    </row>
    <row r="40" spans="2:12" s="19" customFormat="1" ht="15.75">
      <c r="B40" s="345" t="s">
        <v>226</v>
      </c>
      <c r="C40" s="290" t="s">
        <v>264</v>
      </c>
      <c r="D40" s="178" t="s">
        <v>35</v>
      </c>
      <c r="E40" s="345">
        <v>85010</v>
      </c>
      <c r="F40" s="178" t="s">
        <v>0</v>
      </c>
      <c r="G40" s="199">
        <f>'Memorial de Cálculo'!L108</f>
        <v>1</v>
      </c>
      <c r="H40" s="199">
        <v>417.34</v>
      </c>
      <c r="I40" s="293">
        <f>ROUND(H40*($I$15/100+1),2)</f>
        <v>521.38</v>
      </c>
      <c r="J40" s="293">
        <f>ROUND(G40*I40,2)</f>
        <v>521.38</v>
      </c>
      <c r="K40" s="206"/>
      <c r="L40" s="198"/>
    </row>
    <row r="41" spans="2:12" s="19" customFormat="1" ht="16.5" thickBot="1">
      <c r="B41" s="345" t="s">
        <v>350</v>
      </c>
      <c r="C41" s="344" t="s">
        <v>265</v>
      </c>
      <c r="D41" s="231" t="s">
        <v>39</v>
      </c>
      <c r="E41" s="345" t="s">
        <v>257</v>
      </c>
      <c r="F41" s="178" t="s">
        <v>0</v>
      </c>
      <c r="G41" s="438">
        <f>'Memorial de Cálculo'!L111</f>
        <v>1.47</v>
      </c>
      <c r="H41" s="293">
        <v>353.63</v>
      </c>
      <c r="I41" s="293">
        <f>ROUND(H41*($I$15/100+1),2)</f>
        <v>441.79</v>
      </c>
      <c r="J41" s="293">
        <f>ROUND(G41*I41,2)</f>
        <v>649.43</v>
      </c>
      <c r="K41" s="439"/>
      <c r="L41" s="300"/>
    </row>
    <row r="42" spans="2:12" s="19" customFormat="1" ht="16.5" thickBot="1">
      <c r="B42" s="399" t="s">
        <v>351</v>
      </c>
      <c r="C42" s="389" t="s">
        <v>77</v>
      </c>
      <c r="D42" s="390"/>
      <c r="E42" s="400"/>
      <c r="F42" s="391"/>
      <c r="G42" s="392"/>
      <c r="H42" s="392"/>
      <c r="I42" s="392"/>
      <c r="J42" s="393"/>
      <c r="K42" s="401">
        <f>SUM(J43:J60)</f>
        <v>4364.4400000000005</v>
      </c>
      <c r="L42" s="395">
        <f>K42/$K$108</f>
        <v>0.04327008348876375</v>
      </c>
    </row>
    <row r="43" spans="2:12" s="19" customFormat="1" ht="15.75">
      <c r="B43" s="404" t="s">
        <v>352</v>
      </c>
      <c r="C43" s="405" t="s">
        <v>176</v>
      </c>
      <c r="D43" s="406"/>
      <c r="E43" s="407"/>
      <c r="F43" s="408"/>
      <c r="G43" s="409"/>
      <c r="H43" s="410"/>
      <c r="I43" s="402"/>
      <c r="J43" s="402"/>
      <c r="K43" s="411"/>
      <c r="L43" s="403"/>
    </row>
    <row r="44" spans="2:12" s="19" customFormat="1" ht="30">
      <c r="B44" s="299" t="s">
        <v>353</v>
      </c>
      <c r="C44" s="188" t="s">
        <v>182</v>
      </c>
      <c r="D44" s="189" t="s">
        <v>35</v>
      </c>
      <c r="E44" s="171">
        <v>89708</v>
      </c>
      <c r="F44" s="177" t="s">
        <v>1</v>
      </c>
      <c r="G44" s="173">
        <f>'Memorial de Cálculo'!L116</f>
        <v>3</v>
      </c>
      <c r="H44" s="191">
        <v>38.46</v>
      </c>
      <c r="I44" s="170">
        <f>ROUND(H44*($I$15/100+1),2)</f>
        <v>48.05</v>
      </c>
      <c r="J44" s="170">
        <f>ROUND(G44*I44,2)</f>
        <v>144.15</v>
      </c>
      <c r="K44" s="192"/>
      <c r="L44" s="174"/>
    </row>
    <row r="45" spans="2:12" s="19" customFormat="1" ht="15.75">
      <c r="B45" s="404" t="s">
        <v>354</v>
      </c>
      <c r="C45" s="405" t="s">
        <v>230</v>
      </c>
      <c r="D45" s="406"/>
      <c r="E45" s="407"/>
      <c r="F45" s="408"/>
      <c r="G45" s="409"/>
      <c r="H45" s="410"/>
      <c r="I45" s="402"/>
      <c r="J45" s="402"/>
      <c r="K45" s="411"/>
      <c r="L45" s="403"/>
    </row>
    <row r="46" spans="2:12" s="19" customFormat="1" ht="30">
      <c r="B46" s="187" t="s">
        <v>355</v>
      </c>
      <c r="C46" s="188" t="s">
        <v>183</v>
      </c>
      <c r="D46" s="189" t="s">
        <v>35</v>
      </c>
      <c r="E46" s="171">
        <v>89985</v>
      </c>
      <c r="F46" s="177" t="s">
        <v>1</v>
      </c>
      <c r="G46" s="173">
        <f>'Memorial de Cálculo'!L120</f>
        <v>3</v>
      </c>
      <c r="H46" s="191">
        <v>48.12</v>
      </c>
      <c r="I46" s="170">
        <f aca="true" t="shared" si="2" ref="I46:I52">ROUND(H46*($I$15/100+1),2)</f>
        <v>60.12</v>
      </c>
      <c r="J46" s="170">
        <f aca="true" t="shared" si="3" ref="J46:J52">ROUND(G46*I46,2)</f>
        <v>180.36</v>
      </c>
      <c r="K46" s="175"/>
      <c r="L46" s="174"/>
    </row>
    <row r="47" spans="2:12" s="19" customFormat="1" ht="15.75">
      <c r="B47" s="187" t="s">
        <v>356</v>
      </c>
      <c r="C47" s="194" t="s">
        <v>184</v>
      </c>
      <c r="D47" s="189" t="s">
        <v>35</v>
      </c>
      <c r="E47" s="171">
        <v>89353</v>
      </c>
      <c r="F47" s="177" t="s">
        <v>1</v>
      </c>
      <c r="G47" s="173">
        <f>'Memorial de Cálculo'!L123</f>
        <v>3</v>
      </c>
      <c r="H47" s="236">
        <v>22.91</v>
      </c>
      <c r="I47" s="170">
        <f t="shared" si="2"/>
        <v>28.62</v>
      </c>
      <c r="J47" s="170">
        <f t="shared" si="3"/>
        <v>85.86</v>
      </c>
      <c r="K47" s="175"/>
      <c r="L47" s="174"/>
    </row>
    <row r="48" spans="2:12" s="19" customFormat="1" ht="15.75">
      <c r="B48" s="187" t="s">
        <v>357</v>
      </c>
      <c r="C48" s="194" t="s">
        <v>346</v>
      </c>
      <c r="D48" s="189" t="s">
        <v>43</v>
      </c>
      <c r="E48" s="181" t="s">
        <v>345</v>
      </c>
      <c r="F48" s="182" t="s">
        <v>1</v>
      </c>
      <c r="G48" s="173">
        <f>'Memorial de Cálculo'!L126</f>
        <v>3</v>
      </c>
      <c r="H48" s="191">
        <v>55.37</v>
      </c>
      <c r="I48" s="170">
        <f t="shared" si="2"/>
        <v>69.17</v>
      </c>
      <c r="J48" s="170">
        <f t="shared" si="3"/>
        <v>207.51</v>
      </c>
      <c r="K48" s="175"/>
      <c r="L48" s="174"/>
    </row>
    <row r="49" spans="2:12" s="19" customFormat="1" ht="15.75">
      <c r="B49" s="404" t="s">
        <v>358</v>
      </c>
      <c r="C49" s="405" t="s">
        <v>178</v>
      </c>
      <c r="D49" s="406"/>
      <c r="E49" s="407"/>
      <c r="F49" s="408"/>
      <c r="G49" s="409"/>
      <c r="H49" s="410"/>
      <c r="I49" s="402"/>
      <c r="J49" s="402"/>
      <c r="K49" s="411"/>
      <c r="L49" s="403"/>
    </row>
    <row r="50" spans="2:12" s="19" customFormat="1" ht="15.75">
      <c r="B50" s="187" t="s">
        <v>359</v>
      </c>
      <c r="C50" s="188" t="s">
        <v>185</v>
      </c>
      <c r="D50" s="189" t="s">
        <v>35</v>
      </c>
      <c r="E50" s="171">
        <v>86931</v>
      </c>
      <c r="F50" s="177" t="s">
        <v>1</v>
      </c>
      <c r="G50" s="173">
        <f>'Memorial de Cálculo'!L130</f>
        <v>3</v>
      </c>
      <c r="H50" s="191">
        <v>281.56</v>
      </c>
      <c r="I50" s="170">
        <f t="shared" si="2"/>
        <v>351.75</v>
      </c>
      <c r="J50" s="170">
        <f t="shared" si="3"/>
        <v>1055.25</v>
      </c>
      <c r="K50" s="175"/>
      <c r="L50" s="174"/>
    </row>
    <row r="51" spans="2:12" s="19" customFormat="1" ht="45">
      <c r="B51" s="187" t="s">
        <v>360</v>
      </c>
      <c r="C51" s="194" t="s">
        <v>186</v>
      </c>
      <c r="D51" s="189" t="s">
        <v>35</v>
      </c>
      <c r="E51" s="189">
        <v>86942</v>
      </c>
      <c r="F51" s="182" t="s">
        <v>1</v>
      </c>
      <c r="G51" s="195">
        <f>'Memorial de Cálculo'!L133</f>
        <v>3</v>
      </c>
      <c r="H51" s="196">
        <v>284.6</v>
      </c>
      <c r="I51" s="293">
        <f t="shared" si="2"/>
        <v>355.55</v>
      </c>
      <c r="J51" s="293">
        <f t="shared" si="3"/>
        <v>1066.65</v>
      </c>
      <c r="K51" s="197"/>
      <c r="L51" s="198"/>
    </row>
    <row r="52" spans="2:12" s="19" customFormat="1" ht="15.75">
      <c r="B52" s="187" t="s">
        <v>361</v>
      </c>
      <c r="C52" s="188" t="s">
        <v>347</v>
      </c>
      <c r="D52" s="176" t="s">
        <v>35</v>
      </c>
      <c r="E52" s="176">
        <v>9535</v>
      </c>
      <c r="F52" s="177" t="s">
        <v>1</v>
      </c>
      <c r="G52" s="173">
        <f>'Memorial de Cálculo'!L136</f>
        <v>3</v>
      </c>
      <c r="H52" s="191">
        <v>79.34</v>
      </c>
      <c r="I52" s="170">
        <f t="shared" si="2"/>
        <v>99.12</v>
      </c>
      <c r="J52" s="170">
        <f t="shared" si="3"/>
        <v>297.36</v>
      </c>
      <c r="K52" s="175"/>
      <c r="L52" s="174"/>
    </row>
    <row r="53" spans="2:12" s="19" customFormat="1" ht="15.75">
      <c r="B53" s="187" t="s">
        <v>362</v>
      </c>
      <c r="C53" s="188" t="s">
        <v>369</v>
      </c>
      <c r="D53" s="176" t="s">
        <v>35</v>
      </c>
      <c r="E53" s="176">
        <v>86909</v>
      </c>
      <c r="F53" s="177" t="s">
        <v>1</v>
      </c>
      <c r="G53" s="173">
        <f>'Memorial de Cálculo'!L139</f>
        <v>1</v>
      </c>
      <c r="H53" s="191">
        <v>63.52</v>
      </c>
      <c r="I53" s="170">
        <f>ROUND(H53*($I$15/100+1),2)</f>
        <v>79.36</v>
      </c>
      <c r="J53" s="170">
        <f>ROUND(G53*I53,2)</f>
        <v>79.36</v>
      </c>
      <c r="K53" s="175"/>
      <c r="L53" s="174"/>
    </row>
    <row r="54" spans="2:12" s="19" customFormat="1" ht="15.75">
      <c r="B54" s="187" t="s">
        <v>363</v>
      </c>
      <c r="C54" s="188" t="s">
        <v>370</v>
      </c>
      <c r="D54" s="176" t="s">
        <v>39</v>
      </c>
      <c r="E54" s="176" t="s">
        <v>371</v>
      </c>
      <c r="F54" s="177" t="s">
        <v>1</v>
      </c>
      <c r="G54" s="173">
        <f>'Memorial de Cálculo'!L142</f>
        <v>3</v>
      </c>
      <c r="H54" s="191">
        <v>41.77</v>
      </c>
      <c r="I54" s="170">
        <f>ROUND(H54*($I$15/100+1),2)</f>
        <v>52.18</v>
      </c>
      <c r="J54" s="170">
        <f>ROUND(G54*I54,2)</f>
        <v>156.54</v>
      </c>
      <c r="K54" s="175"/>
      <c r="L54" s="174"/>
    </row>
    <row r="55" spans="2:12" s="19" customFormat="1" ht="15.75">
      <c r="B55" s="187" t="s">
        <v>364</v>
      </c>
      <c r="C55" s="194" t="s">
        <v>373</v>
      </c>
      <c r="D55" s="176" t="s">
        <v>39</v>
      </c>
      <c r="E55" s="189" t="s">
        <v>376</v>
      </c>
      <c r="F55" s="182" t="s">
        <v>1</v>
      </c>
      <c r="G55" s="195">
        <f>'Memorial de Cálculo'!L146</f>
        <v>3</v>
      </c>
      <c r="H55" s="196">
        <v>42.63</v>
      </c>
      <c r="I55" s="293">
        <f>ROUND(H55*($I$15/100+1),2)</f>
        <v>53.26</v>
      </c>
      <c r="J55" s="293">
        <f>ROUND(G55*I55,2)</f>
        <v>159.78</v>
      </c>
      <c r="K55" s="197"/>
      <c r="L55" s="198"/>
    </row>
    <row r="56" spans="2:12" s="19" customFormat="1" ht="15.75">
      <c r="B56" s="187" t="s">
        <v>365</v>
      </c>
      <c r="C56" s="194" t="s">
        <v>375</v>
      </c>
      <c r="D56" s="176" t="s">
        <v>39</v>
      </c>
      <c r="E56" s="189" t="s">
        <v>374</v>
      </c>
      <c r="F56" s="182" t="s">
        <v>1</v>
      </c>
      <c r="G56" s="195">
        <f>'Memorial de Cálculo'!L149</f>
        <v>3</v>
      </c>
      <c r="H56" s="196">
        <v>34.52</v>
      </c>
      <c r="I56" s="293">
        <f>ROUND(H56*($I$15/100+1),2)</f>
        <v>43.13</v>
      </c>
      <c r="J56" s="293">
        <f>ROUND(G56*I56,2)</f>
        <v>129.39</v>
      </c>
      <c r="K56" s="197"/>
      <c r="L56" s="198"/>
    </row>
    <row r="57" spans="2:12" s="19" customFormat="1" ht="15.75">
      <c r="B57" s="187" t="s">
        <v>372</v>
      </c>
      <c r="C57" s="194" t="s">
        <v>377</v>
      </c>
      <c r="D57" s="176" t="s">
        <v>39</v>
      </c>
      <c r="E57" s="189" t="s">
        <v>378</v>
      </c>
      <c r="F57" s="182" t="s">
        <v>1</v>
      </c>
      <c r="G57" s="195">
        <f>'Memorial de Cálculo'!L152</f>
        <v>3</v>
      </c>
      <c r="H57" s="195">
        <v>19.35</v>
      </c>
      <c r="I57" s="293">
        <f>ROUND(H57*($I$15/100+1),2)</f>
        <v>24.17</v>
      </c>
      <c r="J57" s="293">
        <f>ROUND(G57*I57,2)</f>
        <v>72.51</v>
      </c>
      <c r="K57" s="197"/>
      <c r="L57" s="198"/>
    </row>
    <row r="58" spans="2:12" s="19" customFormat="1" ht="15.75">
      <c r="B58" s="404" t="s">
        <v>366</v>
      </c>
      <c r="C58" s="405" t="s">
        <v>179</v>
      </c>
      <c r="D58" s="406"/>
      <c r="E58" s="407"/>
      <c r="F58" s="408"/>
      <c r="G58" s="472"/>
      <c r="H58" s="410"/>
      <c r="I58" s="402"/>
      <c r="J58" s="402"/>
      <c r="K58" s="411"/>
      <c r="L58" s="403"/>
    </row>
    <row r="59" spans="2:12" s="19" customFormat="1" ht="15.75">
      <c r="B59" s="187" t="s">
        <v>367</v>
      </c>
      <c r="C59" s="188" t="s">
        <v>180</v>
      </c>
      <c r="D59" s="176" t="s">
        <v>35</v>
      </c>
      <c r="E59" s="176" t="s">
        <v>76</v>
      </c>
      <c r="F59" s="177" t="s">
        <v>1</v>
      </c>
      <c r="G59" s="311">
        <f>'Memorial de Cálculo'!L155</f>
        <v>2</v>
      </c>
      <c r="H59" s="236">
        <v>143.77</v>
      </c>
      <c r="I59" s="170">
        <f>ROUND(H59*($I$15/100+1),2)</f>
        <v>179.61</v>
      </c>
      <c r="J59" s="170">
        <f>ROUND(G59*I59,2)</f>
        <v>359.22</v>
      </c>
      <c r="K59" s="175"/>
      <c r="L59" s="174"/>
    </row>
    <row r="60" spans="2:12" s="19" customFormat="1" ht="30.75" thickBot="1">
      <c r="B60" s="187" t="s">
        <v>368</v>
      </c>
      <c r="C60" s="444" t="s">
        <v>181</v>
      </c>
      <c r="D60" s="445" t="s">
        <v>35</v>
      </c>
      <c r="E60" s="445" t="s">
        <v>56</v>
      </c>
      <c r="F60" s="446" t="s">
        <v>1</v>
      </c>
      <c r="G60" s="473">
        <f>'Memorial de Cálculo'!L157</f>
        <v>2</v>
      </c>
      <c r="H60" s="447">
        <v>148.28</v>
      </c>
      <c r="I60" s="397">
        <f>ROUND(H60*($I$15/100+1),2)</f>
        <v>185.25</v>
      </c>
      <c r="J60" s="397">
        <f>ROUND(G60*I60,2)</f>
        <v>370.5</v>
      </c>
      <c r="K60" s="443"/>
      <c r="L60" s="398"/>
    </row>
    <row r="61" spans="2:17" ht="18" customHeight="1" thickBot="1">
      <c r="B61" s="399" t="s">
        <v>251</v>
      </c>
      <c r="C61" s="389" t="s">
        <v>31</v>
      </c>
      <c r="D61" s="390"/>
      <c r="E61" s="400"/>
      <c r="F61" s="391"/>
      <c r="G61" s="392"/>
      <c r="H61" s="392"/>
      <c r="I61" s="392"/>
      <c r="J61" s="393"/>
      <c r="K61" s="401">
        <f>SUM(J62:J79)</f>
        <v>18544.66</v>
      </c>
      <c r="L61" s="395">
        <f>K61/$K$108</f>
        <v>0.18385611589819942</v>
      </c>
      <c r="M61" s="19"/>
      <c r="N61" s="19"/>
      <c r="O61" s="19"/>
      <c r="P61" s="19"/>
      <c r="Q61" s="19"/>
    </row>
    <row r="62" spans="2:12" s="19" customFormat="1" ht="15.75">
      <c r="B62" s="187" t="s">
        <v>386</v>
      </c>
      <c r="C62" s="179" t="s">
        <v>187</v>
      </c>
      <c r="D62" s="178" t="s">
        <v>35</v>
      </c>
      <c r="E62" s="190">
        <v>83449</v>
      </c>
      <c r="F62" s="177" t="s">
        <v>1</v>
      </c>
      <c r="G62" s="173">
        <f>'Memorial de Cálculo'!L160</f>
        <v>2</v>
      </c>
      <c r="H62" s="286">
        <v>250.3</v>
      </c>
      <c r="I62" s="170">
        <f aca="true" t="shared" si="4" ref="I62:I77">ROUND(H62*($I$15/100+1),2)</f>
        <v>312.7</v>
      </c>
      <c r="J62" s="170">
        <f aca="true" t="shared" si="5" ref="J62:J77">ROUND(G62*I62,2)</f>
        <v>625.4</v>
      </c>
      <c r="K62" s="175"/>
      <c r="L62" s="174"/>
    </row>
    <row r="63" spans="2:12" s="19" customFormat="1" ht="30">
      <c r="B63" s="497" t="s">
        <v>228</v>
      </c>
      <c r="C63" s="180" t="s">
        <v>410</v>
      </c>
      <c r="D63" s="178" t="s">
        <v>43</v>
      </c>
      <c r="E63" s="181" t="s">
        <v>411</v>
      </c>
      <c r="F63" s="182" t="s">
        <v>1</v>
      </c>
      <c r="G63" s="195">
        <f>'Memorial de Cálculo'!L162</f>
        <v>1</v>
      </c>
      <c r="H63" s="350">
        <v>160.81</v>
      </c>
      <c r="I63" s="170">
        <f>ROUND(H63*($I$15/100+1),2)</f>
        <v>200.9</v>
      </c>
      <c r="J63" s="170">
        <f>ROUND(G63*I63,2)</f>
        <v>200.9</v>
      </c>
      <c r="K63" s="197"/>
      <c r="L63" s="198"/>
    </row>
    <row r="64" spans="2:17" s="21" customFormat="1" ht="15.75">
      <c r="B64" s="187" t="s">
        <v>387</v>
      </c>
      <c r="C64" s="180" t="s">
        <v>188</v>
      </c>
      <c r="D64" s="178" t="s">
        <v>39</v>
      </c>
      <c r="E64" s="189" t="s">
        <v>204</v>
      </c>
      <c r="F64" s="182" t="s">
        <v>1</v>
      </c>
      <c r="G64" s="489">
        <f>'Memorial de Cálculo'!L164</f>
        <v>1</v>
      </c>
      <c r="H64" s="295">
        <v>158.18</v>
      </c>
      <c r="I64" s="293">
        <f t="shared" si="4"/>
        <v>197.61</v>
      </c>
      <c r="J64" s="293">
        <f t="shared" si="5"/>
        <v>197.61</v>
      </c>
      <c r="K64" s="296"/>
      <c r="L64" s="296"/>
      <c r="M64" s="19"/>
      <c r="N64" s="19"/>
      <c r="O64" s="19"/>
      <c r="P64" s="19"/>
      <c r="Q64" s="19"/>
    </row>
    <row r="65" spans="2:17" s="12" customFormat="1" ht="30" customHeight="1">
      <c r="B65" s="187" t="s">
        <v>229</v>
      </c>
      <c r="C65" s="180" t="s">
        <v>189</v>
      </c>
      <c r="D65" s="178" t="s">
        <v>35</v>
      </c>
      <c r="E65" s="298" t="s">
        <v>205</v>
      </c>
      <c r="F65" s="182" t="s">
        <v>27</v>
      </c>
      <c r="G65" s="489">
        <f>'Memorial de Cálculo'!L168</f>
        <v>100</v>
      </c>
      <c r="H65" s="295">
        <v>2.32</v>
      </c>
      <c r="I65" s="293">
        <f t="shared" si="4"/>
        <v>2.9</v>
      </c>
      <c r="J65" s="293">
        <f t="shared" si="5"/>
        <v>290</v>
      </c>
      <c r="K65" s="185"/>
      <c r="L65" s="186"/>
      <c r="M65" s="19"/>
      <c r="N65" s="19"/>
      <c r="O65" s="19"/>
      <c r="P65" s="19"/>
      <c r="Q65" s="19"/>
    </row>
    <row r="66" spans="2:17" s="12" customFormat="1" ht="27" customHeight="1">
      <c r="B66" s="187" t="s">
        <v>388</v>
      </c>
      <c r="C66" s="180" t="s">
        <v>190</v>
      </c>
      <c r="D66" s="178" t="s">
        <v>35</v>
      </c>
      <c r="E66" s="298" t="s">
        <v>206</v>
      </c>
      <c r="F66" s="182" t="s">
        <v>27</v>
      </c>
      <c r="G66" s="183">
        <f>'Memorial de Cálculo'!L168</f>
        <v>100</v>
      </c>
      <c r="H66" s="297">
        <v>3.41</v>
      </c>
      <c r="I66" s="293">
        <f t="shared" si="4"/>
        <v>4.26</v>
      </c>
      <c r="J66" s="293">
        <f t="shared" si="5"/>
        <v>426</v>
      </c>
      <c r="K66" s="185"/>
      <c r="L66" s="186"/>
      <c r="M66" s="19"/>
      <c r="N66" s="19"/>
      <c r="O66" s="19"/>
      <c r="P66" s="19"/>
      <c r="Q66" s="19"/>
    </row>
    <row r="67" spans="2:17" s="12" customFormat="1" ht="30">
      <c r="B67" s="187" t="s">
        <v>389</v>
      </c>
      <c r="C67" s="180" t="s">
        <v>380</v>
      </c>
      <c r="D67" s="178" t="s">
        <v>35</v>
      </c>
      <c r="E67" s="189" t="s">
        <v>379</v>
      </c>
      <c r="F67" s="182" t="s">
        <v>1</v>
      </c>
      <c r="G67" s="183">
        <f>'Memorial de Cálculo'!L170</f>
        <v>2</v>
      </c>
      <c r="H67" s="295">
        <v>238.62</v>
      </c>
      <c r="I67" s="293">
        <f t="shared" si="4"/>
        <v>298.11</v>
      </c>
      <c r="J67" s="293">
        <f t="shared" si="5"/>
        <v>596.22</v>
      </c>
      <c r="K67" s="185"/>
      <c r="L67" s="186"/>
      <c r="M67" s="19"/>
      <c r="N67" s="19"/>
      <c r="O67" s="19"/>
      <c r="P67" s="19"/>
      <c r="Q67" s="19"/>
    </row>
    <row r="68" spans="2:17" s="12" customFormat="1" ht="30">
      <c r="B68" s="187" t="s">
        <v>390</v>
      </c>
      <c r="C68" s="180" t="s">
        <v>433</v>
      </c>
      <c r="D68" s="178" t="s">
        <v>35</v>
      </c>
      <c r="E68" s="189" t="s">
        <v>432</v>
      </c>
      <c r="F68" s="182"/>
      <c r="G68" s="183">
        <f>'Memorial de Cálculo'!L171</f>
        <v>24</v>
      </c>
      <c r="H68" s="295">
        <v>9.36</v>
      </c>
      <c r="I68" s="293">
        <f t="shared" si="4"/>
        <v>11.69</v>
      </c>
      <c r="J68" s="293">
        <f t="shared" si="5"/>
        <v>280.56</v>
      </c>
      <c r="K68" s="185"/>
      <c r="L68" s="186"/>
      <c r="M68" s="19"/>
      <c r="N68" s="19"/>
      <c r="O68" s="19"/>
      <c r="P68" s="19"/>
      <c r="Q68" s="19"/>
    </row>
    <row r="69" spans="2:17" s="12" customFormat="1" ht="30">
      <c r="B69" s="187" t="s">
        <v>390</v>
      </c>
      <c r="C69" s="180" t="s">
        <v>381</v>
      </c>
      <c r="D69" s="178" t="s">
        <v>43</v>
      </c>
      <c r="E69" s="181" t="s">
        <v>382</v>
      </c>
      <c r="F69" s="182" t="s">
        <v>383</v>
      </c>
      <c r="G69" s="183">
        <f>'Memorial de Cálculo'!K173</f>
        <v>14</v>
      </c>
      <c r="H69" s="295">
        <v>120.05</v>
      </c>
      <c r="I69" s="293">
        <f t="shared" si="4"/>
        <v>149.98</v>
      </c>
      <c r="J69" s="293">
        <f t="shared" si="5"/>
        <v>2099.72</v>
      </c>
      <c r="K69" s="185"/>
      <c r="L69" s="186"/>
      <c r="M69" s="19"/>
      <c r="N69" s="19"/>
      <c r="O69" s="19"/>
      <c r="P69" s="19"/>
      <c r="Q69" s="19"/>
    </row>
    <row r="70" spans="2:17" s="12" customFormat="1" ht="30">
      <c r="B70" s="187" t="s">
        <v>391</v>
      </c>
      <c r="C70" s="180" t="s">
        <v>384</v>
      </c>
      <c r="D70" s="178" t="s">
        <v>43</v>
      </c>
      <c r="E70" s="181" t="s">
        <v>385</v>
      </c>
      <c r="F70" s="182" t="s">
        <v>383</v>
      </c>
      <c r="G70" s="183">
        <f>'Memorial de Cálculo'!K175</f>
        <v>3</v>
      </c>
      <c r="H70" s="295">
        <v>123.82</v>
      </c>
      <c r="I70" s="293">
        <f t="shared" si="4"/>
        <v>154.69</v>
      </c>
      <c r="J70" s="293">
        <f t="shared" si="5"/>
        <v>464.07</v>
      </c>
      <c r="K70" s="185"/>
      <c r="L70" s="186"/>
      <c r="M70" s="19"/>
      <c r="N70" s="19"/>
      <c r="O70" s="19"/>
      <c r="P70" s="19"/>
      <c r="Q70" s="19"/>
    </row>
    <row r="71" spans="2:17" s="12" customFormat="1" ht="30">
      <c r="B71" s="187" t="s">
        <v>392</v>
      </c>
      <c r="C71" s="180" t="s">
        <v>401</v>
      </c>
      <c r="D71" s="178" t="s">
        <v>43</v>
      </c>
      <c r="E71" s="181" t="s">
        <v>402</v>
      </c>
      <c r="F71" s="182" t="s">
        <v>383</v>
      </c>
      <c r="G71" s="183">
        <f>'Memorial de Cálculo'!K177</f>
        <v>6</v>
      </c>
      <c r="H71" s="295">
        <v>127.22</v>
      </c>
      <c r="I71" s="293">
        <f t="shared" si="4"/>
        <v>158.94</v>
      </c>
      <c r="J71" s="293">
        <f t="shared" si="5"/>
        <v>953.64</v>
      </c>
      <c r="K71" s="185"/>
      <c r="L71" s="186"/>
      <c r="M71" s="19"/>
      <c r="N71" s="19"/>
      <c r="O71" s="19"/>
      <c r="P71" s="19"/>
      <c r="Q71" s="19"/>
    </row>
    <row r="72" spans="2:17" s="12" customFormat="1" ht="30">
      <c r="B72" s="187" t="s">
        <v>393</v>
      </c>
      <c r="C72" s="180" t="s">
        <v>403</v>
      </c>
      <c r="D72" s="178" t="s">
        <v>35</v>
      </c>
      <c r="E72" s="189" t="s">
        <v>404</v>
      </c>
      <c r="F72" s="182" t="s">
        <v>1</v>
      </c>
      <c r="G72" s="183">
        <f>'Memorial de Cálculo'!K179</f>
        <v>4</v>
      </c>
      <c r="H72" s="295">
        <v>87.35</v>
      </c>
      <c r="I72" s="293">
        <f t="shared" si="4"/>
        <v>109.13</v>
      </c>
      <c r="J72" s="293">
        <f t="shared" si="5"/>
        <v>436.52</v>
      </c>
      <c r="K72" s="185"/>
      <c r="L72" s="186"/>
      <c r="M72" s="19"/>
      <c r="N72" s="19"/>
      <c r="O72" s="19"/>
      <c r="P72" s="19"/>
      <c r="Q72" s="19"/>
    </row>
    <row r="73" spans="2:17" s="12" customFormat="1" ht="30">
      <c r="B73" s="187" t="s">
        <v>394</v>
      </c>
      <c r="C73" s="180" t="s">
        <v>405</v>
      </c>
      <c r="D73" s="178" t="s">
        <v>43</v>
      </c>
      <c r="E73" s="181" t="s">
        <v>207</v>
      </c>
      <c r="F73" s="182" t="s">
        <v>1</v>
      </c>
      <c r="G73" s="183">
        <f>'Memorial de Cálculo'!K181</f>
        <v>40</v>
      </c>
      <c r="H73" s="184">
        <v>94.34</v>
      </c>
      <c r="I73" s="293">
        <f t="shared" si="4"/>
        <v>117.86</v>
      </c>
      <c r="J73" s="293">
        <f t="shared" si="5"/>
        <v>4714.4</v>
      </c>
      <c r="K73" s="185"/>
      <c r="L73" s="186"/>
      <c r="M73" s="19"/>
      <c r="N73" s="19"/>
      <c r="O73" s="19"/>
      <c r="P73" s="19"/>
      <c r="Q73" s="19"/>
    </row>
    <row r="74" spans="2:17" s="12" customFormat="1" ht="15.75">
      <c r="B74" s="187" t="s">
        <v>395</v>
      </c>
      <c r="C74" s="179" t="s">
        <v>430</v>
      </c>
      <c r="D74" s="178" t="s">
        <v>98</v>
      </c>
      <c r="E74" s="181"/>
      <c r="F74" s="182" t="s">
        <v>1</v>
      </c>
      <c r="G74" s="183">
        <f>'Memorial de Cálculo'!L183</f>
        <v>5</v>
      </c>
      <c r="H74" s="184">
        <f>'Composições de Custo'!I49</f>
        <v>39.269999999999996</v>
      </c>
      <c r="I74" s="293">
        <f>ROUND(H74*($I$15/100+1),2)</f>
        <v>49.06</v>
      </c>
      <c r="J74" s="293">
        <f>ROUND(G74*I74,2)</f>
        <v>245.3</v>
      </c>
      <c r="K74" s="185"/>
      <c r="L74" s="186"/>
      <c r="M74" s="19"/>
      <c r="N74" s="19"/>
      <c r="O74" s="19"/>
      <c r="P74" s="19"/>
      <c r="Q74" s="19"/>
    </row>
    <row r="75" spans="2:17" s="12" customFormat="1" ht="15.75">
      <c r="B75" s="187" t="s">
        <v>396</v>
      </c>
      <c r="C75" s="180" t="s">
        <v>422</v>
      </c>
      <c r="D75" s="178" t="s">
        <v>98</v>
      </c>
      <c r="E75" s="181" t="s">
        <v>191</v>
      </c>
      <c r="F75" s="182" t="s">
        <v>1</v>
      </c>
      <c r="G75" s="183">
        <f>'Memorial de Cálculo'!L185</f>
        <v>16</v>
      </c>
      <c r="H75" s="184">
        <f>'Composições de Custo'!I66</f>
        <v>62.13999999999999</v>
      </c>
      <c r="I75" s="293">
        <f t="shared" si="4"/>
        <v>77.63</v>
      </c>
      <c r="J75" s="293">
        <f t="shared" si="5"/>
        <v>1242.08</v>
      </c>
      <c r="K75" s="185"/>
      <c r="L75" s="186"/>
      <c r="M75" s="19"/>
      <c r="N75" s="19"/>
      <c r="O75" s="19"/>
      <c r="P75" s="19"/>
      <c r="Q75" s="19"/>
    </row>
    <row r="76" spans="2:17" s="12" customFormat="1" ht="45">
      <c r="B76" s="187" t="s">
        <v>397</v>
      </c>
      <c r="C76" s="180" t="s">
        <v>431</v>
      </c>
      <c r="D76" s="178" t="s">
        <v>35</v>
      </c>
      <c r="E76" s="181" t="s">
        <v>192</v>
      </c>
      <c r="F76" s="182" t="s">
        <v>1</v>
      </c>
      <c r="G76" s="183">
        <f>'Memorial de Cálculo'!L187</f>
        <v>2</v>
      </c>
      <c r="H76" s="287">
        <v>211.28</v>
      </c>
      <c r="I76" s="170">
        <f t="shared" si="4"/>
        <v>263.95</v>
      </c>
      <c r="J76" s="170">
        <f t="shared" si="5"/>
        <v>527.9</v>
      </c>
      <c r="K76" s="185"/>
      <c r="L76" s="186"/>
      <c r="M76" s="19"/>
      <c r="N76" s="19"/>
      <c r="O76" s="19"/>
      <c r="P76" s="19"/>
      <c r="Q76" s="19"/>
    </row>
    <row r="77" spans="2:17" s="12" customFormat="1" ht="45">
      <c r="B77" s="187" t="s">
        <v>398</v>
      </c>
      <c r="C77" s="180" t="s">
        <v>434</v>
      </c>
      <c r="D77" s="178" t="s">
        <v>43</v>
      </c>
      <c r="E77" s="181" t="s">
        <v>435</v>
      </c>
      <c r="F77" s="182" t="s">
        <v>437</v>
      </c>
      <c r="G77" s="183">
        <f>'Memorial de Cálculo'!L189</f>
        <v>26</v>
      </c>
      <c r="H77" s="184">
        <v>128.75</v>
      </c>
      <c r="I77" s="293">
        <f t="shared" si="4"/>
        <v>160.85</v>
      </c>
      <c r="J77" s="293">
        <f t="shared" si="5"/>
        <v>4182.1</v>
      </c>
      <c r="K77" s="185"/>
      <c r="L77" s="186"/>
      <c r="M77" s="19"/>
      <c r="N77" s="19"/>
      <c r="O77" s="19"/>
      <c r="P77" s="19"/>
      <c r="Q77" s="19"/>
    </row>
    <row r="78" spans="2:17" s="12" customFormat="1" ht="30">
      <c r="B78" s="187" t="s">
        <v>399</v>
      </c>
      <c r="C78" s="180" t="s">
        <v>436</v>
      </c>
      <c r="D78" s="178" t="s">
        <v>43</v>
      </c>
      <c r="E78" s="181" t="s">
        <v>438</v>
      </c>
      <c r="F78" s="182" t="s">
        <v>437</v>
      </c>
      <c r="G78" s="183">
        <f>'Memorial de Cálculo'!L191</f>
        <v>4</v>
      </c>
      <c r="H78" s="184">
        <v>174.67</v>
      </c>
      <c r="I78" s="293">
        <f>ROUND(H78*($I$15/100+1),2)</f>
        <v>218.22</v>
      </c>
      <c r="J78" s="293">
        <f>ROUND(G78*I78,2)</f>
        <v>872.88</v>
      </c>
      <c r="K78" s="185"/>
      <c r="L78" s="186"/>
      <c r="M78" s="19"/>
      <c r="N78" s="19"/>
      <c r="O78" s="19"/>
      <c r="P78" s="19"/>
      <c r="Q78" s="19"/>
    </row>
    <row r="79" spans="2:17" s="12" customFormat="1" ht="16.5" thickBot="1">
      <c r="B79" s="187" t="s">
        <v>400</v>
      </c>
      <c r="C79" s="180" t="s">
        <v>439</v>
      </c>
      <c r="D79" s="178" t="s">
        <v>35</v>
      </c>
      <c r="E79" s="181">
        <v>68069</v>
      </c>
      <c r="F79" s="182" t="s">
        <v>1</v>
      </c>
      <c r="G79" s="183">
        <f>'Memorial de Cálculo'!L193</f>
        <v>4</v>
      </c>
      <c r="H79" s="184">
        <v>37.89</v>
      </c>
      <c r="I79" s="293">
        <f>ROUND(H79*($I$15/100+1),2)</f>
        <v>47.34</v>
      </c>
      <c r="J79" s="293">
        <f>ROUND(G79*I79,2)</f>
        <v>189.36</v>
      </c>
      <c r="K79" s="185"/>
      <c r="L79" s="186"/>
      <c r="M79" s="19"/>
      <c r="N79" s="19"/>
      <c r="O79" s="19"/>
      <c r="P79" s="19"/>
      <c r="Q79" s="19"/>
    </row>
    <row r="80" spans="2:17" s="12" customFormat="1" ht="16.5" thickBot="1">
      <c r="B80" s="399" t="s">
        <v>406</v>
      </c>
      <c r="C80" s="389" t="s">
        <v>234</v>
      </c>
      <c r="D80" s="390"/>
      <c r="E80" s="400"/>
      <c r="F80" s="391"/>
      <c r="G80" s="392"/>
      <c r="H80" s="392"/>
      <c r="I80" s="392"/>
      <c r="J80" s="393"/>
      <c r="K80" s="401">
        <f>SUM(J81:J83)</f>
        <v>4457.98</v>
      </c>
      <c r="L80" s="395">
        <f>K80/$K$108</f>
        <v>0.044197461023920366</v>
      </c>
      <c r="M80" s="19"/>
      <c r="N80" s="19"/>
      <c r="O80" s="19"/>
      <c r="P80" s="19"/>
      <c r="Q80" s="19"/>
    </row>
    <row r="81" spans="2:17" s="12" customFormat="1" ht="30">
      <c r="B81" s="289" t="s">
        <v>407</v>
      </c>
      <c r="C81" s="290" t="s">
        <v>193</v>
      </c>
      <c r="D81" s="203" t="s">
        <v>35</v>
      </c>
      <c r="E81" s="178">
        <v>87878</v>
      </c>
      <c r="F81" s="231" t="s">
        <v>0</v>
      </c>
      <c r="G81" s="199">
        <f>'Memorial de Cálculo'!L201</f>
        <v>57.9</v>
      </c>
      <c r="H81" s="350">
        <v>2.74</v>
      </c>
      <c r="I81" s="293">
        <f>ROUND(H81*($I$15/100+1),2)</f>
        <v>3.42</v>
      </c>
      <c r="J81" s="293">
        <f>ROUND(G81*I81,2)</f>
        <v>198.02</v>
      </c>
      <c r="K81" s="197"/>
      <c r="L81" s="198"/>
      <c r="M81" s="19"/>
      <c r="N81" s="19"/>
      <c r="O81" s="19"/>
      <c r="P81" s="19"/>
      <c r="Q81" s="19"/>
    </row>
    <row r="82" spans="2:17" s="12" customFormat="1" ht="30">
      <c r="B82" s="289" t="s">
        <v>408</v>
      </c>
      <c r="C82" s="315" t="s">
        <v>216</v>
      </c>
      <c r="D82" s="316" t="s">
        <v>35</v>
      </c>
      <c r="E82" s="343" t="s">
        <v>217</v>
      </c>
      <c r="F82" s="231" t="s">
        <v>0</v>
      </c>
      <c r="G82" s="199">
        <f>'Memorial de Cálculo'!L208</f>
        <v>57.9</v>
      </c>
      <c r="H82" s="199">
        <v>19.45</v>
      </c>
      <c r="I82" s="293">
        <f>ROUND(H82*($I$15/100+1),2)</f>
        <v>24.3</v>
      </c>
      <c r="J82" s="293">
        <f>ROUND(G82*I82,2)</f>
        <v>1406.97</v>
      </c>
      <c r="K82" s="197"/>
      <c r="L82" s="198"/>
      <c r="M82" s="19"/>
      <c r="N82" s="19"/>
      <c r="O82" s="19"/>
      <c r="P82" s="19"/>
      <c r="Q82" s="19"/>
    </row>
    <row r="83" spans="2:17" s="12" customFormat="1" ht="30.75" thickBot="1">
      <c r="B83" s="289" t="s">
        <v>444</v>
      </c>
      <c r="C83" s="290" t="s">
        <v>442</v>
      </c>
      <c r="D83" s="203" t="s">
        <v>39</v>
      </c>
      <c r="E83" s="178" t="s">
        <v>441</v>
      </c>
      <c r="F83" s="231" t="s">
        <v>0</v>
      </c>
      <c r="G83" s="199">
        <f>'Memorial de Cálculo'!L213</f>
        <v>36.544000000000004</v>
      </c>
      <c r="H83" s="195">
        <v>62.49</v>
      </c>
      <c r="I83" s="293">
        <f>ROUND(H83*($I$15/100+1),2)</f>
        <v>78.07</v>
      </c>
      <c r="J83" s="293">
        <f>ROUND(G83*I83,2)</f>
        <v>2852.99</v>
      </c>
      <c r="K83" s="197"/>
      <c r="L83" s="198"/>
      <c r="M83" s="19"/>
      <c r="N83" s="19"/>
      <c r="O83" s="19"/>
      <c r="P83" s="19"/>
      <c r="Q83" s="19"/>
    </row>
    <row r="84" spans="2:17" s="12" customFormat="1" ht="16.5" thickBot="1">
      <c r="B84" s="399" t="s">
        <v>17</v>
      </c>
      <c r="C84" s="389" t="s">
        <v>235</v>
      </c>
      <c r="D84" s="390"/>
      <c r="E84" s="400"/>
      <c r="F84" s="391"/>
      <c r="G84" s="392"/>
      <c r="H84" s="392"/>
      <c r="I84" s="392"/>
      <c r="J84" s="393"/>
      <c r="K84" s="401">
        <f>SUM(J85:J86)</f>
        <v>1476.3</v>
      </c>
      <c r="L84" s="395">
        <f>K84/$K$108</f>
        <v>0.014636385024072256</v>
      </c>
      <c r="M84" s="19"/>
      <c r="N84" s="19"/>
      <c r="O84" s="19"/>
      <c r="P84" s="19"/>
      <c r="Q84" s="19"/>
    </row>
    <row r="85" spans="2:17" s="12" customFormat="1" ht="30">
      <c r="B85" s="289" t="s">
        <v>58</v>
      </c>
      <c r="C85" s="344" t="s">
        <v>194</v>
      </c>
      <c r="D85" s="316" t="s">
        <v>35</v>
      </c>
      <c r="E85" s="231">
        <v>87881</v>
      </c>
      <c r="F85" s="231" t="s">
        <v>0</v>
      </c>
      <c r="G85" s="199">
        <f>'Memorial de Cálculo'!L219</f>
        <v>53.2</v>
      </c>
      <c r="H85" s="350">
        <v>2.75</v>
      </c>
      <c r="I85" s="293">
        <f>ROUND(H85*($I$15/100+1),2)</f>
        <v>3.44</v>
      </c>
      <c r="J85" s="293">
        <f>ROUND(G85*I85,2)</f>
        <v>183.01</v>
      </c>
      <c r="K85" s="197"/>
      <c r="L85" s="198"/>
      <c r="M85" s="19"/>
      <c r="N85" s="19"/>
      <c r="O85" s="19"/>
      <c r="P85" s="19"/>
      <c r="Q85" s="19"/>
    </row>
    <row r="86" spans="2:17" s="12" customFormat="1" ht="30.75" thickBot="1">
      <c r="B86" s="289" t="s">
        <v>80</v>
      </c>
      <c r="C86" s="315" t="s">
        <v>216</v>
      </c>
      <c r="D86" s="316" t="s">
        <v>35</v>
      </c>
      <c r="E86" s="343" t="s">
        <v>217</v>
      </c>
      <c r="F86" s="231" t="s">
        <v>0</v>
      </c>
      <c r="G86" s="199">
        <f>'Memorial de Cálculo'!L224</f>
        <v>53.2</v>
      </c>
      <c r="H86" s="199">
        <v>19.46</v>
      </c>
      <c r="I86" s="293">
        <f>ROUND(H86*($I$15/100+1),2)</f>
        <v>24.31</v>
      </c>
      <c r="J86" s="293">
        <f>ROUND(G86*I86,2)</f>
        <v>1293.29</v>
      </c>
      <c r="K86" s="197"/>
      <c r="L86" s="198"/>
      <c r="M86" s="19"/>
      <c r="N86" s="19"/>
      <c r="O86" s="19"/>
      <c r="P86" s="19"/>
      <c r="Q86" s="19"/>
    </row>
    <row r="87" spans="2:17" s="12" customFormat="1" ht="16.5" thickBot="1">
      <c r="B87" s="496" t="s">
        <v>233</v>
      </c>
      <c r="C87" s="389" t="s">
        <v>9</v>
      </c>
      <c r="D87" s="390"/>
      <c r="E87" s="400"/>
      <c r="F87" s="391"/>
      <c r="G87" s="392"/>
      <c r="H87" s="392"/>
      <c r="I87" s="392"/>
      <c r="J87" s="393"/>
      <c r="K87" s="401">
        <f>SUM(J88:J90)</f>
        <v>2772.91</v>
      </c>
      <c r="L87" s="395">
        <f>K87/$K$108</f>
        <v>0.02749128117394852</v>
      </c>
      <c r="M87" s="19"/>
      <c r="N87" s="19"/>
      <c r="O87" s="19"/>
      <c r="P87" s="19"/>
      <c r="Q87" s="19"/>
    </row>
    <row r="88" spans="2:17" s="12" customFormat="1" ht="30">
      <c r="B88" s="182" t="s">
        <v>409</v>
      </c>
      <c r="C88" s="317" t="s">
        <v>195</v>
      </c>
      <c r="D88" s="352" t="s">
        <v>39</v>
      </c>
      <c r="E88" s="353" t="s">
        <v>218</v>
      </c>
      <c r="F88" s="178" t="s">
        <v>0</v>
      </c>
      <c r="G88" s="199">
        <f>'Memorial de Cálculo'!L230</f>
        <v>10.07</v>
      </c>
      <c r="H88" s="351">
        <v>16.62</v>
      </c>
      <c r="I88" s="293">
        <f>ROUND(H88*($I$15/100+1),2)</f>
        <v>20.76</v>
      </c>
      <c r="J88" s="293">
        <f>ROUND(G88*I88,2)</f>
        <v>209.05</v>
      </c>
      <c r="K88" s="354"/>
      <c r="L88" s="198"/>
      <c r="M88" s="19"/>
      <c r="N88" s="19"/>
      <c r="O88" s="19"/>
      <c r="P88" s="19"/>
      <c r="Q88" s="19"/>
    </row>
    <row r="89" spans="2:17" s="12" customFormat="1" ht="30">
      <c r="B89" s="182" t="s">
        <v>101</v>
      </c>
      <c r="C89" s="290" t="s">
        <v>442</v>
      </c>
      <c r="D89" s="352" t="s">
        <v>39</v>
      </c>
      <c r="E89" s="353" t="s">
        <v>443</v>
      </c>
      <c r="F89" s="178" t="s">
        <v>0</v>
      </c>
      <c r="G89" s="199">
        <f>'Memorial de Cálculo'!L235</f>
        <v>10.07</v>
      </c>
      <c r="H89" s="351">
        <v>62.22</v>
      </c>
      <c r="I89" s="293">
        <f>ROUND(H89*($I$15/100+1),2)</f>
        <v>77.73</v>
      </c>
      <c r="J89" s="293">
        <f>ROUND(G89*I89,2)</f>
        <v>782.74</v>
      </c>
      <c r="K89" s="354"/>
      <c r="L89" s="198"/>
      <c r="M89" s="19"/>
      <c r="N89" s="19"/>
      <c r="O89" s="19"/>
      <c r="P89" s="19"/>
      <c r="Q89" s="19"/>
    </row>
    <row r="90" spans="2:17" s="12" customFormat="1" ht="45" customHeight="1">
      <c r="B90" s="182" t="s">
        <v>255</v>
      </c>
      <c r="C90" s="290" t="s">
        <v>454</v>
      </c>
      <c r="D90" s="352" t="s">
        <v>35</v>
      </c>
      <c r="E90" s="353" t="s">
        <v>455</v>
      </c>
      <c r="F90" s="178" t="s">
        <v>0</v>
      </c>
      <c r="G90" s="199">
        <f>'Memorial de Cálculo'!L238</f>
        <v>46</v>
      </c>
      <c r="H90" s="351">
        <v>30.99</v>
      </c>
      <c r="I90" s="293">
        <f>ROUND(H90*($I$15/100+1),2)</f>
        <v>38.72</v>
      </c>
      <c r="J90" s="293">
        <f>ROUND(G90*I90,2)</f>
        <v>1781.12</v>
      </c>
      <c r="K90" s="197"/>
      <c r="L90" s="198"/>
      <c r="M90" s="19"/>
      <c r="N90" s="19"/>
      <c r="O90" s="19"/>
      <c r="P90" s="19"/>
      <c r="Q90" s="19"/>
    </row>
    <row r="91" spans="2:17" s="12" customFormat="1" ht="16.5" thickBot="1">
      <c r="B91" s="507" t="s">
        <v>236</v>
      </c>
      <c r="C91" s="490" t="s">
        <v>242</v>
      </c>
      <c r="D91" s="491"/>
      <c r="E91" s="492"/>
      <c r="F91" s="493"/>
      <c r="G91" s="494"/>
      <c r="H91" s="494"/>
      <c r="I91" s="494"/>
      <c r="J91" s="495"/>
      <c r="K91" s="508">
        <f>SUM(J92:J93)</f>
        <v>983.53</v>
      </c>
      <c r="L91" s="509">
        <f>K91/$K$108</f>
        <v>0.009750947478646473</v>
      </c>
      <c r="M91" s="19"/>
      <c r="N91" s="19"/>
      <c r="O91" s="19"/>
      <c r="P91" s="19"/>
      <c r="Q91" s="19"/>
    </row>
    <row r="92" spans="2:17" s="12" customFormat="1" ht="15.75">
      <c r="B92" s="178" t="s">
        <v>237</v>
      </c>
      <c r="C92" s="349" t="s">
        <v>448</v>
      </c>
      <c r="D92" s="203" t="s">
        <v>35</v>
      </c>
      <c r="E92" s="203">
        <v>72118</v>
      </c>
      <c r="F92" s="178" t="s">
        <v>0</v>
      </c>
      <c r="G92" s="346">
        <f>'Memorial de Cálculo'!L242</f>
        <v>1.1</v>
      </c>
      <c r="H92" s="347">
        <v>154.16</v>
      </c>
      <c r="I92" s="293">
        <f>ROUND(H92*($I$15/100+1),2)</f>
        <v>192.59</v>
      </c>
      <c r="J92" s="293">
        <f>ROUND(G92*I92,2)</f>
        <v>211.85</v>
      </c>
      <c r="K92" s="197"/>
      <c r="L92" s="348"/>
      <c r="M92" s="19"/>
      <c r="N92" s="19"/>
      <c r="O92" s="19"/>
      <c r="P92" s="19"/>
      <c r="Q92" s="19"/>
    </row>
    <row r="93" spans="2:17" s="12" customFormat="1" ht="30.75" thickBot="1">
      <c r="B93" s="178" t="s">
        <v>238</v>
      </c>
      <c r="C93" s="349" t="s">
        <v>208</v>
      </c>
      <c r="D93" s="203" t="s">
        <v>35</v>
      </c>
      <c r="E93" s="203">
        <v>72120</v>
      </c>
      <c r="F93" s="178" t="s">
        <v>0</v>
      </c>
      <c r="G93" s="346">
        <f>'Memorial de Cálculo'!L246</f>
        <v>2.4699999999999998</v>
      </c>
      <c r="H93" s="347">
        <v>250.08</v>
      </c>
      <c r="I93" s="293">
        <f>ROUND(H93*($I$15/100+1),2)</f>
        <v>312.42</v>
      </c>
      <c r="J93" s="293">
        <f>ROUND(G93*I93,2)</f>
        <v>771.68</v>
      </c>
      <c r="K93" s="197"/>
      <c r="L93" s="348"/>
      <c r="M93" s="19"/>
      <c r="N93" s="19"/>
      <c r="O93" s="19"/>
      <c r="P93" s="19"/>
      <c r="Q93" s="19"/>
    </row>
    <row r="94" spans="2:17" s="12" customFormat="1" ht="16.5" thickBot="1">
      <c r="B94" s="399" t="s">
        <v>239</v>
      </c>
      <c r="C94" s="389" t="s">
        <v>10</v>
      </c>
      <c r="D94" s="390"/>
      <c r="E94" s="400"/>
      <c r="F94" s="391"/>
      <c r="G94" s="392"/>
      <c r="H94" s="392"/>
      <c r="I94" s="392"/>
      <c r="J94" s="393"/>
      <c r="K94" s="401">
        <f>SUM(J95:J103)</f>
        <v>38329.93</v>
      </c>
      <c r="L94" s="395">
        <f>K94/$K$108</f>
        <v>0.3800119307903122</v>
      </c>
      <c r="M94" s="19"/>
      <c r="N94" s="19"/>
      <c r="O94" s="19"/>
      <c r="P94" s="19"/>
      <c r="Q94" s="19"/>
    </row>
    <row r="95" spans="2:17" s="12" customFormat="1" ht="15.75">
      <c r="B95" s="171" t="s">
        <v>196</v>
      </c>
      <c r="C95" s="202" t="s">
        <v>450</v>
      </c>
      <c r="D95" s="204" t="s">
        <v>35</v>
      </c>
      <c r="E95" s="204">
        <v>88483</v>
      </c>
      <c r="F95" s="201" t="s">
        <v>0</v>
      </c>
      <c r="G95" s="205">
        <f>'Memorial de Cálculo'!L258</f>
        <v>22.840000000000003</v>
      </c>
      <c r="H95" s="310">
        <v>1.51</v>
      </c>
      <c r="I95" s="170">
        <f>ROUND(H95*($I$15/100+1),2)</f>
        <v>1.89</v>
      </c>
      <c r="J95" s="170">
        <f>ROUND(G95*I95,2)</f>
        <v>43.17</v>
      </c>
      <c r="K95" s="175"/>
      <c r="L95" s="174"/>
      <c r="M95" s="19"/>
      <c r="N95" s="19"/>
      <c r="O95" s="19"/>
      <c r="P95" s="19"/>
      <c r="Q95" s="19"/>
    </row>
    <row r="96" spans="2:17" s="12" customFormat="1" ht="15.75">
      <c r="B96" s="171" t="s">
        <v>197</v>
      </c>
      <c r="C96" s="306" t="s">
        <v>209</v>
      </c>
      <c r="D96" s="204" t="s">
        <v>35</v>
      </c>
      <c r="E96" s="307">
        <v>88497</v>
      </c>
      <c r="F96" s="201" t="s">
        <v>0</v>
      </c>
      <c r="G96" s="305">
        <f>'Memorial de Cálculo'!L266</f>
        <v>58.5</v>
      </c>
      <c r="H96" s="310">
        <v>8.59</v>
      </c>
      <c r="I96" s="170">
        <f aca="true" t="shared" si="6" ref="I96:I102">ROUND(H96*($I$15/100+1),2)</f>
        <v>10.73</v>
      </c>
      <c r="J96" s="170">
        <f aca="true" t="shared" si="7" ref="J96:J102">ROUND(G96*I96,2)</f>
        <v>627.71</v>
      </c>
      <c r="K96" s="175"/>
      <c r="L96" s="174"/>
      <c r="M96" s="19"/>
      <c r="N96" s="19"/>
      <c r="O96" s="19"/>
      <c r="P96" s="19"/>
      <c r="Q96" s="19"/>
    </row>
    <row r="97" spans="2:17" s="12" customFormat="1" ht="30">
      <c r="B97" s="171" t="s">
        <v>198</v>
      </c>
      <c r="C97" s="342" t="s">
        <v>449</v>
      </c>
      <c r="D97" s="204" t="s">
        <v>35</v>
      </c>
      <c r="E97" s="203">
        <v>88487</v>
      </c>
      <c r="F97" s="231" t="s">
        <v>0</v>
      </c>
      <c r="G97" s="440">
        <f>'Memorial de Cálculo'!L295</f>
        <v>1168.4074</v>
      </c>
      <c r="H97" s="441">
        <v>6.53</v>
      </c>
      <c r="I97" s="170">
        <f t="shared" si="6"/>
        <v>8.16</v>
      </c>
      <c r="J97" s="170">
        <f t="shared" si="7"/>
        <v>9534.2</v>
      </c>
      <c r="K97" s="175"/>
      <c r="L97" s="174"/>
      <c r="M97" s="19"/>
      <c r="N97" s="19"/>
      <c r="O97" s="19"/>
      <c r="P97" s="19"/>
      <c r="Q97" s="19"/>
    </row>
    <row r="98" spans="2:17" s="12" customFormat="1" ht="15.75">
      <c r="B98" s="171" t="s">
        <v>199</v>
      </c>
      <c r="C98" s="442" t="s">
        <v>210</v>
      </c>
      <c r="D98" s="203" t="s">
        <v>35</v>
      </c>
      <c r="E98" s="309">
        <v>88482</v>
      </c>
      <c r="F98" s="231" t="s">
        <v>0</v>
      </c>
      <c r="G98" s="440">
        <f>'Memorial de Cálculo'!L304</f>
        <v>2.61</v>
      </c>
      <c r="H98" s="441">
        <v>1.66</v>
      </c>
      <c r="I98" s="170">
        <f t="shared" si="6"/>
        <v>2.07</v>
      </c>
      <c r="J98" s="170">
        <f t="shared" si="7"/>
        <v>5.4</v>
      </c>
      <c r="K98" s="175"/>
      <c r="L98" s="174"/>
      <c r="M98" s="19"/>
      <c r="N98" s="19"/>
      <c r="O98" s="19"/>
      <c r="P98" s="19"/>
      <c r="Q98" s="19"/>
    </row>
    <row r="99" spans="2:17" ht="18" customHeight="1">
      <c r="B99" s="171" t="s">
        <v>200</v>
      </c>
      <c r="C99" s="442" t="s">
        <v>211</v>
      </c>
      <c r="D99" s="203" t="s">
        <v>35</v>
      </c>
      <c r="E99" s="309">
        <v>88496</v>
      </c>
      <c r="F99" s="231" t="s">
        <v>0</v>
      </c>
      <c r="G99" s="293">
        <f>'Memorial de Cálculo'!L317</f>
        <v>72.30000000000001</v>
      </c>
      <c r="H99" s="441">
        <v>14.59</v>
      </c>
      <c r="I99" s="170">
        <f t="shared" si="6"/>
        <v>18.23</v>
      </c>
      <c r="J99" s="170">
        <f t="shared" si="7"/>
        <v>1318.03</v>
      </c>
      <c r="K99" s="175"/>
      <c r="L99" s="174"/>
      <c r="M99" s="19"/>
      <c r="N99" s="19"/>
      <c r="O99" s="19"/>
      <c r="P99" s="19"/>
      <c r="Q99" s="19"/>
    </row>
    <row r="100" spans="2:17" ht="30">
      <c r="B100" s="171" t="s">
        <v>201</v>
      </c>
      <c r="C100" s="442" t="s">
        <v>212</v>
      </c>
      <c r="D100" s="203" t="s">
        <v>35</v>
      </c>
      <c r="E100" s="309">
        <v>88486</v>
      </c>
      <c r="F100" s="231" t="s">
        <v>0</v>
      </c>
      <c r="G100" s="293">
        <f>'Memorial de Cálculo'!L328</f>
        <v>72.30000000000001</v>
      </c>
      <c r="H100" s="440">
        <v>7.19</v>
      </c>
      <c r="I100" s="170">
        <f t="shared" si="6"/>
        <v>8.98</v>
      </c>
      <c r="J100" s="170">
        <f t="shared" si="7"/>
        <v>649.25</v>
      </c>
      <c r="K100" s="175"/>
      <c r="L100" s="174"/>
      <c r="M100" s="19"/>
      <c r="N100" s="19"/>
      <c r="O100" s="19"/>
      <c r="P100" s="19"/>
      <c r="Q100" s="19"/>
    </row>
    <row r="101" spans="2:17" ht="30">
      <c r="B101" s="171" t="s">
        <v>445</v>
      </c>
      <c r="C101" s="342" t="s">
        <v>213</v>
      </c>
      <c r="D101" s="203" t="s">
        <v>35</v>
      </c>
      <c r="E101" s="437">
        <v>88431</v>
      </c>
      <c r="F101" s="178" t="s">
        <v>0</v>
      </c>
      <c r="G101" s="199">
        <f>'Memorial de Cálculo'!L332</f>
        <v>23</v>
      </c>
      <c r="H101" s="347">
        <v>13.83</v>
      </c>
      <c r="I101" s="170">
        <f t="shared" si="6"/>
        <v>17.28</v>
      </c>
      <c r="J101" s="170">
        <f t="shared" si="7"/>
        <v>397.44</v>
      </c>
      <c r="K101" s="175"/>
      <c r="L101" s="174"/>
      <c r="M101" s="19"/>
      <c r="N101" s="19"/>
      <c r="O101" s="19"/>
      <c r="P101" s="19"/>
      <c r="Q101" s="19"/>
    </row>
    <row r="102" spans="2:17" ht="30">
      <c r="B102" s="171" t="s">
        <v>446</v>
      </c>
      <c r="C102" s="342" t="s">
        <v>451</v>
      </c>
      <c r="D102" s="204" t="s">
        <v>35</v>
      </c>
      <c r="E102" s="506">
        <v>6067</v>
      </c>
      <c r="F102" s="178" t="s">
        <v>0</v>
      </c>
      <c r="G102" s="199">
        <f>'Memorial de Cálculo'!L343</f>
        <v>843.0352</v>
      </c>
      <c r="H102" s="347">
        <v>24.15</v>
      </c>
      <c r="I102" s="170">
        <f t="shared" si="6"/>
        <v>30.17</v>
      </c>
      <c r="J102" s="170">
        <f t="shared" si="7"/>
        <v>25434.37</v>
      </c>
      <c r="K102" s="175"/>
      <c r="L102" s="174"/>
      <c r="M102" s="19"/>
      <c r="N102" s="19"/>
      <c r="O102" s="19"/>
      <c r="P102" s="19"/>
      <c r="Q102" s="19"/>
    </row>
    <row r="103" spans="2:17" ht="29.25" customHeight="1" thickBot="1">
      <c r="B103" s="171" t="s">
        <v>447</v>
      </c>
      <c r="C103" s="267" t="s">
        <v>259</v>
      </c>
      <c r="D103" s="203" t="s">
        <v>35</v>
      </c>
      <c r="E103" s="308" t="s">
        <v>258</v>
      </c>
      <c r="F103" s="171" t="s">
        <v>0</v>
      </c>
      <c r="G103" s="172">
        <f>'Memorial de Cálculo'!L347</f>
        <v>15.75</v>
      </c>
      <c r="H103" s="173">
        <v>16.28</v>
      </c>
      <c r="I103" s="170">
        <f>ROUND(H103*($I$15/100+1),2)</f>
        <v>20.34</v>
      </c>
      <c r="J103" s="170">
        <f>ROUND(G103*I103,2)</f>
        <v>320.36</v>
      </c>
      <c r="K103" s="175"/>
      <c r="L103" s="174"/>
      <c r="M103" s="19"/>
      <c r="N103" s="19"/>
      <c r="O103" s="19"/>
      <c r="P103" s="19"/>
      <c r="Q103" s="19"/>
    </row>
    <row r="104" spans="2:12" ht="18" customHeight="1" thickBot="1">
      <c r="B104" s="496" t="s">
        <v>75</v>
      </c>
      <c r="C104" s="389" t="s">
        <v>11</v>
      </c>
      <c r="D104" s="390"/>
      <c r="E104" s="400"/>
      <c r="F104" s="391"/>
      <c r="G104" s="392"/>
      <c r="H104" s="392"/>
      <c r="I104" s="392"/>
      <c r="J104" s="393"/>
      <c r="K104" s="401">
        <f>SUM(J105:J106)</f>
        <v>4426.78</v>
      </c>
      <c r="L104" s="395">
        <f>K104/$K$108</f>
        <v>0.0438881368941696</v>
      </c>
    </row>
    <row r="105" spans="2:12" ht="18" customHeight="1">
      <c r="B105" s="178" t="s">
        <v>240</v>
      </c>
      <c r="C105" s="290" t="s">
        <v>214</v>
      </c>
      <c r="D105" s="178" t="s">
        <v>35</v>
      </c>
      <c r="E105" s="291" t="s">
        <v>215</v>
      </c>
      <c r="F105" s="178" t="s">
        <v>0</v>
      </c>
      <c r="G105" s="199">
        <f>'Memorial de Cálculo'!L359</f>
        <v>72.30000000000001</v>
      </c>
      <c r="H105" s="199">
        <v>24.56</v>
      </c>
      <c r="I105" s="293">
        <f>ROUND(H105*($I$15/100+1),2)</f>
        <v>30.68</v>
      </c>
      <c r="J105" s="293">
        <f>ROUND(G105*I105,2)</f>
        <v>2218.16</v>
      </c>
      <c r="K105" s="206"/>
      <c r="L105" s="198"/>
    </row>
    <row r="106" spans="2:12" s="19" customFormat="1" ht="18" customHeight="1">
      <c r="B106" s="178" t="s">
        <v>241</v>
      </c>
      <c r="C106" s="426" t="s">
        <v>30</v>
      </c>
      <c r="D106" s="178" t="s">
        <v>35</v>
      </c>
      <c r="E106" s="291">
        <v>9537</v>
      </c>
      <c r="F106" s="178" t="s">
        <v>0</v>
      </c>
      <c r="G106" s="199">
        <f>'Memorial de Cálculo'!L363</f>
        <v>1168.58</v>
      </c>
      <c r="H106" s="195">
        <v>1.51</v>
      </c>
      <c r="I106" s="293">
        <f>ROUND(H106*($I$15/100+1),2)</f>
        <v>1.89</v>
      </c>
      <c r="J106" s="293">
        <f>ROUND(G106*I106,2)</f>
        <v>2208.62</v>
      </c>
      <c r="K106" s="175"/>
      <c r="L106" s="174"/>
    </row>
    <row r="107" spans="2:12" s="8" customFormat="1" ht="4.5" customHeight="1" thickBot="1">
      <c r="B107" s="207"/>
      <c r="C107" s="208"/>
      <c r="D107" s="208"/>
      <c r="E107" s="208"/>
      <c r="F107" s="209"/>
      <c r="G107" s="210"/>
      <c r="H107" s="211"/>
      <c r="I107" s="212"/>
      <c r="J107" s="212"/>
      <c r="K107" s="213"/>
      <c r="L107" s="214"/>
    </row>
    <row r="108" spans="2:12" s="12" customFormat="1" ht="18" customHeight="1" thickBot="1">
      <c r="B108" s="538" t="s">
        <v>74</v>
      </c>
      <c r="C108" s="539"/>
      <c r="D108" s="390"/>
      <c r="E108" s="400"/>
      <c r="F108" s="391"/>
      <c r="G108" s="392"/>
      <c r="H108" s="392"/>
      <c r="I108" s="392"/>
      <c r="J108" s="393"/>
      <c r="K108" s="401">
        <f>SUM(K17:K106)</f>
        <v>100865.07</v>
      </c>
      <c r="L108" s="395">
        <f>SUM(L17:L106)</f>
        <v>0.9999999999999999</v>
      </c>
    </row>
    <row r="109" spans="2:12" s="12" customFormat="1" ht="18" customHeight="1">
      <c r="B109" s="215"/>
      <c r="C109" s="216"/>
      <c r="D109" s="216"/>
      <c r="E109" s="216"/>
      <c r="F109" s="217"/>
      <c r="G109" s="218"/>
      <c r="H109" s="219"/>
      <c r="I109" s="220"/>
      <c r="J109" s="220"/>
      <c r="K109" s="321"/>
      <c r="L109" s="221"/>
    </row>
    <row r="110" spans="2:12" ht="18" customHeight="1">
      <c r="B110" s="222"/>
      <c r="C110" s="223"/>
      <c r="D110" s="223"/>
      <c r="E110" s="223"/>
      <c r="F110" s="222"/>
      <c r="G110" s="224"/>
      <c r="H110" s="225"/>
      <c r="I110" s="226"/>
      <c r="J110" s="226"/>
      <c r="K110" s="227"/>
      <c r="L110" s="228"/>
    </row>
    <row r="111" spans="2:12" ht="18" customHeight="1">
      <c r="B111" s="540" t="s">
        <v>463</v>
      </c>
      <c r="C111" s="540"/>
      <c r="D111" s="540"/>
      <c r="E111" s="540"/>
      <c r="F111" s="540"/>
      <c r="G111" s="540"/>
      <c r="H111" s="540"/>
      <c r="I111" s="540"/>
      <c r="J111" s="540"/>
      <c r="K111" s="540"/>
      <c r="L111" s="540"/>
    </row>
    <row r="112" spans="2:12" ht="18" customHeight="1"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</row>
    <row r="113" spans="2:12" ht="18" customHeight="1">
      <c r="B113" s="1"/>
      <c r="F113" s="1"/>
      <c r="G113" s="1"/>
      <c r="H113" s="1"/>
      <c r="I113" s="1"/>
      <c r="J113" s="1"/>
      <c r="K113" s="1"/>
      <c r="L113" s="1"/>
    </row>
    <row r="114" spans="2:12" ht="18" customHeight="1">
      <c r="B114" s="1"/>
      <c r="F114" s="1"/>
      <c r="G114" s="1"/>
      <c r="H114" s="1"/>
      <c r="I114" s="1"/>
      <c r="J114" s="1"/>
      <c r="K114" s="1"/>
      <c r="L114" s="1"/>
    </row>
    <row r="115" spans="2:3" ht="18" customHeight="1">
      <c r="B115" s="543" t="s">
        <v>464</v>
      </c>
      <c r="C115" s="543"/>
    </row>
    <row r="117" spans="9:10" ht="18" customHeight="1">
      <c r="I117" s="453"/>
      <c r="J117" s="453"/>
    </row>
    <row r="118" spans="9:10" ht="18" customHeight="1">
      <c r="I118" s="453"/>
      <c r="J118" s="453"/>
    </row>
  </sheetData>
  <sheetProtection/>
  <mergeCells count="22">
    <mergeCell ref="B108:C108"/>
    <mergeCell ref="B111:L112"/>
    <mergeCell ref="J14:J15"/>
    <mergeCell ref="B14:B15"/>
    <mergeCell ref="B115:C115"/>
    <mergeCell ref="C14:C15"/>
    <mergeCell ref="F14:F15"/>
    <mergeCell ref="G14:G15"/>
    <mergeCell ref="H14:H15"/>
    <mergeCell ref="D14:D15"/>
    <mergeCell ref="E14:E15"/>
    <mergeCell ref="F2:L3"/>
    <mergeCell ref="F4:L5"/>
    <mergeCell ref="F6:L7"/>
    <mergeCell ref="K14:K15"/>
    <mergeCell ref="L14:L15"/>
    <mergeCell ref="B11:C11"/>
    <mergeCell ref="B12:L12"/>
    <mergeCell ref="F9:L9"/>
    <mergeCell ref="B9:E9"/>
    <mergeCell ref="B10:E10"/>
    <mergeCell ref="F10:L10"/>
  </mergeCells>
  <printOptions horizontalCentered="1"/>
  <pageMargins left="0.3937007874015748" right="0.1968503937007874" top="0.5905511811023623" bottom="0.71" header="0.3937007874015748" footer="0.3937007874015748"/>
  <pageSetup horizontalDpi="600" verticalDpi="600" orientation="landscape" paperSize="9" scale="61" r:id="rId2"/>
  <headerFooter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view="pageBreakPreview" zoomScale="112" zoomScaleSheetLayoutView="112" zoomScalePageLayoutView="0" workbookViewId="0" topLeftCell="B1">
      <selection activeCell="C17" sqref="C17"/>
    </sheetView>
  </sheetViews>
  <sheetFormatPr defaultColWidth="9.140625" defaultRowHeight="15"/>
  <cols>
    <col min="2" max="2" width="9.140625" style="0" customWidth="1"/>
    <col min="3" max="3" width="47.8515625" style="0" customWidth="1"/>
    <col min="4" max="4" width="8.57421875" style="0" customWidth="1"/>
    <col min="5" max="5" width="13.28125" style="0" bestFit="1" customWidth="1"/>
    <col min="6" max="6" width="9.421875" style="0" customWidth="1"/>
    <col min="7" max="7" width="13.8515625" style="0" customWidth="1"/>
    <col min="8" max="8" width="25.00390625" style="0" customWidth="1"/>
    <col min="9" max="9" width="13.28125" style="0" bestFit="1" customWidth="1"/>
    <col min="10" max="10" width="11.57421875" style="0" bestFit="1" customWidth="1"/>
  </cols>
  <sheetData>
    <row r="2" spans="2:8" ht="18" customHeight="1">
      <c r="B2" s="30"/>
      <c r="C2" s="31"/>
      <c r="D2" s="31"/>
      <c r="E2" s="31"/>
      <c r="F2" s="550" t="s">
        <v>40</v>
      </c>
      <c r="G2" s="533"/>
      <c r="H2" s="533"/>
    </row>
    <row r="3" spans="2:8" ht="18" customHeight="1">
      <c r="B3" s="32"/>
      <c r="C3" s="33"/>
      <c r="D3" s="33"/>
      <c r="E3" s="33"/>
      <c r="F3" s="533"/>
      <c r="G3" s="533"/>
      <c r="H3" s="533"/>
    </row>
    <row r="4" spans="2:8" ht="18" customHeight="1">
      <c r="B4" s="32"/>
      <c r="C4" s="33"/>
      <c r="D4" s="33"/>
      <c r="E4" s="33"/>
      <c r="F4" s="533" t="s">
        <v>41</v>
      </c>
      <c r="G4" s="533"/>
      <c r="H4" s="533"/>
    </row>
    <row r="5" spans="2:8" ht="18" customHeight="1">
      <c r="B5" s="32"/>
      <c r="C5" s="33"/>
      <c r="D5" s="33"/>
      <c r="E5" s="33"/>
      <c r="F5" s="533"/>
      <c r="G5" s="533"/>
      <c r="H5" s="533"/>
    </row>
    <row r="6" spans="2:8" ht="18" customHeight="1">
      <c r="B6" s="32"/>
      <c r="C6" s="33"/>
      <c r="D6" s="33"/>
      <c r="E6" s="33"/>
      <c r="F6" s="551" t="s">
        <v>28</v>
      </c>
      <c r="G6" s="551"/>
      <c r="H6" s="551"/>
    </row>
    <row r="7" spans="2:8" ht="18" customHeight="1">
      <c r="B7" s="34"/>
      <c r="C7" s="35"/>
      <c r="D7" s="35"/>
      <c r="E7" s="35"/>
      <c r="F7" s="551"/>
      <c r="G7" s="551"/>
      <c r="H7" s="551"/>
    </row>
    <row r="8" spans="2:8" ht="4.5" customHeight="1">
      <c r="B8" s="36"/>
      <c r="C8" s="33"/>
      <c r="D8" s="33"/>
      <c r="E8" s="33"/>
      <c r="F8" s="36"/>
      <c r="G8" s="37"/>
      <c r="H8" s="38"/>
    </row>
    <row r="9" spans="2:8" ht="24" customHeight="1">
      <c r="B9" s="552" t="s">
        <v>78</v>
      </c>
      <c r="C9" s="553"/>
      <c r="D9" s="553"/>
      <c r="E9" s="553"/>
      <c r="F9" s="552" t="s">
        <v>263</v>
      </c>
      <c r="G9" s="553"/>
      <c r="H9" s="570"/>
    </row>
    <row r="10" spans="2:8" ht="24" customHeight="1">
      <c r="B10" s="552" t="s">
        <v>79</v>
      </c>
      <c r="C10" s="553"/>
      <c r="D10" s="553"/>
      <c r="E10" s="553"/>
      <c r="F10" s="558" t="s">
        <v>269</v>
      </c>
      <c r="G10" s="559"/>
      <c r="H10" s="560"/>
    </row>
    <row r="11" spans="2:8" ht="4.5" customHeight="1" thickBot="1">
      <c r="B11" s="39"/>
      <c r="C11" s="40"/>
      <c r="D11" s="40"/>
      <c r="E11" s="40"/>
      <c r="F11" s="40"/>
      <c r="G11" s="40"/>
      <c r="H11" s="39"/>
    </row>
    <row r="12" spans="2:8" ht="24.75" customHeight="1" thickBot="1">
      <c r="B12" s="554" t="s">
        <v>44</v>
      </c>
      <c r="C12" s="555"/>
      <c r="D12" s="555"/>
      <c r="E12" s="555"/>
      <c r="F12" s="555"/>
      <c r="G12" s="555"/>
      <c r="H12" s="556"/>
    </row>
    <row r="13" spans="2:8" ht="4.5" customHeight="1" thickBot="1">
      <c r="B13" s="39"/>
      <c r="C13" s="40"/>
      <c r="D13" s="40"/>
      <c r="E13" s="40"/>
      <c r="F13" s="40"/>
      <c r="G13" s="40"/>
      <c r="H13" s="39"/>
    </row>
    <row r="14" spans="2:8" ht="15" customHeight="1">
      <c r="B14" s="562" t="s">
        <v>14</v>
      </c>
      <c r="C14" s="568" t="s">
        <v>15</v>
      </c>
      <c r="D14" s="562" t="s">
        <v>18</v>
      </c>
      <c r="E14" s="566" t="s">
        <v>19</v>
      </c>
      <c r="F14" s="564" t="s">
        <v>20</v>
      </c>
      <c r="G14" s="565"/>
      <c r="H14" s="562" t="s">
        <v>13</v>
      </c>
    </row>
    <row r="15" spans="2:8" ht="15.75" thickBot="1">
      <c r="B15" s="563"/>
      <c r="C15" s="569"/>
      <c r="D15" s="563"/>
      <c r="E15" s="567"/>
      <c r="F15" s="365" t="s">
        <v>21</v>
      </c>
      <c r="G15" s="366" t="s">
        <v>22</v>
      </c>
      <c r="H15" s="563"/>
    </row>
    <row r="16" spans="2:8" ht="4.5" customHeight="1" thickBot="1">
      <c r="B16" s="41"/>
      <c r="C16" s="41"/>
      <c r="D16" s="42"/>
      <c r="E16" s="41"/>
      <c r="F16" s="42"/>
      <c r="G16" s="42"/>
      <c r="H16" s="41"/>
    </row>
    <row r="17" spans="2:9" ht="15">
      <c r="B17" s="362" t="s">
        <v>6</v>
      </c>
      <c r="C17" s="510" t="str">
        <f>Orçamento!C17</f>
        <v>SERVIÇOS PRELIMINARES</v>
      </c>
      <c r="D17" s="515">
        <f aca="true" t="shared" si="0" ref="D17:D29">E17/$E$31</f>
        <v>0.072065681409828</v>
      </c>
      <c r="E17" s="516">
        <f>Orçamento!K17</f>
        <v>7268.91</v>
      </c>
      <c r="F17" s="516">
        <v>100</v>
      </c>
      <c r="G17" s="516">
        <f aca="true" t="shared" si="1" ref="G17:G29">F17*E17/100</f>
        <v>7268.91</v>
      </c>
      <c r="H17" s="517">
        <f>G17</f>
        <v>7268.91</v>
      </c>
      <c r="I17" s="269">
        <f>H17/E17</f>
        <v>1</v>
      </c>
    </row>
    <row r="18" spans="2:9" ht="15">
      <c r="B18" s="430" t="str">
        <f>Orçamento!B20</f>
        <v>2.00</v>
      </c>
      <c r="C18" s="511" t="str">
        <f>Orçamento!C20</f>
        <v>RETIRADAS E DEMOLIÇÕES </v>
      </c>
      <c r="D18" s="515">
        <f t="shared" si="0"/>
        <v>0.1590050946279024</v>
      </c>
      <c r="E18" s="516">
        <f>Orçamento!K20</f>
        <v>16038.060000000001</v>
      </c>
      <c r="F18" s="516">
        <v>100</v>
      </c>
      <c r="G18" s="516">
        <f t="shared" si="1"/>
        <v>16038.060000000003</v>
      </c>
      <c r="H18" s="517">
        <f aca="true" t="shared" si="2" ref="H18:H29">G18</f>
        <v>16038.060000000003</v>
      </c>
      <c r="I18" s="269"/>
    </row>
    <row r="19" spans="2:9" ht="15">
      <c r="B19" s="430" t="str">
        <f>Orçamento!B33</f>
        <v>3.00</v>
      </c>
      <c r="C19" s="511" t="str">
        <f>Orçamento!C33</f>
        <v>COBERTURA</v>
      </c>
      <c r="D19" s="515">
        <f t="shared" si="0"/>
        <v>0.008415797460904949</v>
      </c>
      <c r="E19" s="516">
        <f>Orçamento!K33</f>
        <v>848.86</v>
      </c>
      <c r="F19" s="516">
        <v>100</v>
      </c>
      <c r="G19" s="516">
        <f t="shared" si="1"/>
        <v>848.86</v>
      </c>
      <c r="H19" s="517">
        <f t="shared" si="2"/>
        <v>848.86</v>
      </c>
      <c r="I19" s="269"/>
    </row>
    <row r="20" spans="2:9" ht="15">
      <c r="B20" s="363" t="str">
        <f>Orçamento!B37</f>
        <v>4.00</v>
      </c>
      <c r="C20" s="512" t="str">
        <f>Orçamento!C37</f>
        <v>PAREDES E PAINÉIS</v>
      </c>
      <c r="D20" s="515">
        <f t="shared" si="0"/>
        <v>0.0018033993333866718</v>
      </c>
      <c r="E20" s="516">
        <f>Orçamento!K37</f>
        <v>181.9</v>
      </c>
      <c r="F20" s="516">
        <v>100</v>
      </c>
      <c r="G20" s="516">
        <f t="shared" si="1"/>
        <v>181.9</v>
      </c>
      <c r="H20" s="517">
        <f t="shared" si="2"/>
        <v>181.9</v>
      </c>
      <c r="I20" s="269">
        <f aca="true" t="shared" si="3" ref="I20:I29">H20/E20</f>
        <v>1</v>
      </c>
    </row>
    <row r="21" spans="2:9" ht="15">
      <c r="B21" s="363" t="str">
        <f>Orçamento!B39</f>
        <v>5.00</v>
      </c>
      <c r="C21" s="513" t="str">
        <f>Orçamento!C39</f>
        <v>ESQUADRIAS METÁLICAS</v>
      </c>
      <c r="D21" s="515">
        <f t="shared" si="0"/>
        <v>0.011607685395945295</v>
      </c>
      <c r="E21" s="516">
        <f>Orçamento!K39</f>
        <v>1170.81</v>
      </c>
      <c r="F21" s="516">
        <v>100</v>
      </c>
      <c r="G21" s="516">
        <f t="shared" si="1"/>
        <v>1170.81</v>
      </c>
      <c r="H21" s="517">
        <f t="shared" si="2"/>
        <v>1170.81</v>
      </c>
      <c r="I21" s="269">
        <f t="shared" si="3"/>
        <v>1</v>
      </c>
    </row>
    <row r="22" spans="2:9" ht="15">
      <c r="B22" s="363" t="str">
        <f>Orçamento!B42</f>
        <v>6.00</v>
      </c>
      <c r="C22" s="513" t="str">
        <f>Orçamento!C42</f>
        <v>INSTALAÇÕES  HIDRO-SANITÁRIAS E ÁGUA PLUVIAL</v>
      </c>
      <c r="D22" s="515">
        <f t="shared" si="0"/>
        <v>0.04327008348876375</v>
      </c>
      <c r="E22" s="516">
        <f>Orçamento!K42</f>
        <v>4364.4400000000005</v>
      </c>
      <c r="F22" s="516">
        <v>100</v>
      </c>
      <c r="G22" s="516">
        <f t="shared" si="1"/>
        <v>4364.4400000000005</v>
      </c>
      <c r="H22" s="517">
        <f t="shared" si="2"/>
        <v>4364.4400000000005</v>
      </c>
      <c r="I22" s="269">
        <f t="shared" si="3"/>
        <v>1</v>
      </c>
    </row>
    <row r="23" spans="2:9" ht="15">
      <c r="B23" s="363" t="str">
        <f>Orçamento!B61</f>
        <v>7.00</v>
      </c>
      <c r="C23" s="513" t="str">
        <f>Orçamento!C61</f>
        <v>INSTALAÇÃO ELÉTRICA</v>
      </c>
      <c r="D23" s="515">
        <f t="shared" si="0"/>
        <v>0.18385611589819942</v>
      </c>
      <c r="E23" s="516">
        <f>Orçamento!K61</f>
        <v>18544.66</v>
      </c>
      <c r="F23" s="516">
        <v>100</v>
      </c>
      <c r="G23" s="516">
        <f t="shared" si="1"/>
        <v>18544.66</v>
      </c>
      <c r="H23" s="517">
        <f t="shared" si="2"/>
        <v>18544.66</v>
      </c>
      <c r="I23" s="269">
        <f t="shared" si="3"/>
        <v>1</v>
      </c>
    </row>
    <row r="24" spans="2:9" ht="15">
      <c r="B24" s="363" t="str">
        <f>Orçamento!B80</f>
        <v>8.00</v>
      </c>
      <c r="C24" s="513" t="str">
        <f>Orçamento!C80</f>
        <v>REVESTIMENTO DE PAREDES INTERNAS</v>
      </c>
      <c r="D24" s="515">
        <f t="shared" si="0"/>
        <v>0.044197461023920366</v>
      </c>
      <c r="E24" s="516">
        <f>Orçamento!K80</f>
        <v>4457.98</v>
      </c>
      <c r="F24" s="516">
        <v>100</v>
      </c>
      <c r="G24" s="516">
        <f t="shared" si="1"/>
        <v>4457.98</v>
      </c>
      <c r="H24" s="517">
        <f t="shared" si="2"/>
        <v>4457.98</v>
      </c>
      <c r="I24" s="269">
        <f t="shared" si="3"/>
        <v>1</v>
      </c>
    </row>
    <row r="25" spans="2:9" ht="15">
      <c r="B25" s="363" t="str">
        <f>Orçamento!B84</f>
        <v>9.00</v>
      </c>
      <c r="C25" s="513" t="str">
        <f>Orçamento!C84</f>
        <v>REVESTIMENTO DE PAREDES EXTERNAS</v>
      </c>
      <c r="D25" s="515">
        <f t="shared" si="0"/>
        <v>0.014636385024072256</v>
      </c>
      <c r="E25" s="516">
        <f>Orçamento!K84</f>
        <v>1476.3</v>
      </c>
      <c r="F25" s="516">
        <v>100</v>
      </c>
      <c r="G25" s="516">
        <f t="shared" si="1"/>
        <v>1476.3</v>
      </c>
      <c r="H25" s="517">
        <f t="shared" si="2"/>
        <v>1476.3</v>
      </c>
      <c r="I25" s="269">
        <f t="shared" si="3"/>
        <v>1</v>
      </c>
    </row>
    <row r="26" spans="2:9" ht="15">
      <c r="B26" s="363" t="str">
        <f>Orçamento!B87</f>
        <v>10.00</v>
      </c>
      <c r="C26" s="513" t="str">
        <f>Orçamento!C87</f>
        <v>PAVIMENTAÇÃO</v>
      </c>
      <c r="D26" s="515">
        <f t="shared" si="0"/>
        <v>0.02749128117394852</v>
      </c>
      <c r="E26" s="516">
        <f>Orçamento!K87</f>
        <v>2772.91</v>
      </c>
      <c r="F26" s="516">
        <v>100</v>
      </c>
      <c r="G26" s="516">
        <f t="shared" si="1"/>
        <v>2772.91</v>
      </c>
      <c r="H26" s="517">
        <f t="shared" si="2"/>
        <v>2772.91</v>
      </c>
      <c r="I26" s="269">
        <f t="shared" si="3"/>
        <v>1</v>
      </c>
    </row>
    <row r="27" spans="2:9" ht="15">
      <c r="B27" s="363" t="str">
        <f>Orçamento!B91</f>
        <v>11.00</v>
      </c>
      <c r="C27" s="513" t="str">
        <f>Orçamento!C91</f>
        <v>VIDROS</v>
      </c>
      <c r="D27" s="515">
        <f t="shared" si="0"/>
        <v>0.009750947478646473</v>
      </c>
      <c r="E27" s="516">
        <f>Orçamento!K91</f>
        <v>983.53</v>
      </c>
      <c r="F27" s="516">
        <v>100</v>
      </c>
      <c r="G27" s="516">
        <f t="shared" si="1"/>
        <v>983.53</v>
      </c>
      <c r="H27" s="517">
        <f t="shared" si="2"/>
        <v>983.53</v>
      </c>
      <c r="I27" s="269">
        <f t="shared" si="3"/>
        <v>1</v>
      </c>
    </row>
    <row r="28" spans="2:9" ht="15">
      <c r="B28" s="363" t="str">
        <f>Orçamento!B94</f>
        <v>12.00</v>
      </c>
      <c r="C28" s="513" t="str">
        <f>Orçamento!C94</f>
        <v>PINTURA</v>
      </c>
      <c r="D28" s="515">
        <f t="shared" si="0"/>
        <v>0.3800119307903122</v>
      </c>
      <c r="E28" s="516">
        <f>Orçamento!K94</f>
        <v>38329.93</v>
      </c>
      <c r="F28" s="516">
        <v>100</v>
      </c>
      <c r="G28" s="516">
        <f t="shared" si="1"/>
        <v>38329.93</v>
      </c>
      <c r="H28" s="517">
        <f t="shared" si="2"/>
        <v>38329.93</v>
      </c>
      <c r="I28" s="269">
        <f t="shared" si="3"/>
        <v>1</v>
      </c>
    </row>
    <row r="29" spans="2:9" ht="15.75" thickBot="1">
      <c r="B29" s="364" t="str">
        <f>Orçamento!B104</f>
        <v>13.00</v>
      </c>
      <c r="C29" s="514" t="str">
        <f>Orçamento!C104</f>
        <v>DIVERSOS</v>
      </c>
      <c r="D29" s="515">
        <f t="shared" si="0"/>
        <v>0.0438881368941696</v>
      </c>
      <c r="E29" s="516">
        <f>Orçamento!K104</f>
        <v>4426.78</v>
      </c>
      <c r="F29" s="516">
        <v>100</v>
      </c>
      <c r="G29" s="516">
        <f t="shared" si="1"/>
        <v>4426.78</v>
      </c>
      <c r="H29" s="517">
        <f t="shared" si="2"/>
        <v>4426.78</v>
      </c>
      <c r="I29" s="269">
        <f t="shared" si="3"/>
        <v>1</v>
      </c>
    </row>
    <row r="30" spans="2:8" ht="4.5" customHeight="1" thickBot="1">
      <c r="B30" s="370"/>
      <c r="C30" s="367"/>
      <c r="D30" s="372"/>
      <c r="E30" s="376"/>
      <c r="F30" s="376"/>
      <c r="G30" s="376"/>
      <c r="H30" s="380"/>
    </row>
    <row r="31" spans="2:9" ht="15.75" thickBot="1">
      <c r="B31" s="371"/>
      <c r="C31" s="368" t="s">
        <v>23</v>
      </c>
      <c r="D31" s="373"/>
      <c r="E31" s="377">
        <f>SUM(E17:E29)</f>
        <v>100865.07</v>
      </c>
      <c r="F31" s="379"/>
      <c r="G31" s="379">
        <f>SUM(G17:G29)</f>
        <v>100865.07</v>
      </c>
      <c r="H31" s="379">
        <f>SUM(H17:H29)</f>
        <v>100865.07</v>
      </c>
      <c r="I31" s="159">
        <f>SUM(G31:G31)</f>
        <v>100865.07</v>
      </c>
    </row>
    <row r="32" spans="2:8" ht="4.5" customHeight="1" thickBot="1">
      <c r="B32" s="367"/>
      <c r="C32" s="369"/>
      <c r="D32" s="374"/>
      <c r="E32" s="376"/>
      <c r="F32" s="380"/>
      <c r="G32" s="376"/>
      <c r="H32" s="376"/>
    </row>
    <row r="33" spans="2:8" ht="15.75" thickBot="1">
      <c r="B33" s="371"/>
      <c r="C33" s="368" t="s">
        <v>24</v>
      </c>
      <c r="D33" s="375">
        <f>SUM(D17:D29)</f>
        <v>0.9999999999999999</v>
      </c>
      <c r="E33" s="378"/>
      <c r="F33" s="381">
        <f>G31/$E31</f>
        <v>1</v>
      </c>
      <c r="G33" s="382"/>
      <c r="H33" s="383">
        <f>SUM(F33:G33)</f>
        <v>1</v>
      </c>
    </row>
    <row r="34" spans="2:10" ht="15">
      <c r="B34" s="43"/>
      <c r="C34" s="43"/>
      <c r="D34" s="44"/>
      <c r="E34" s="43"/>
      <c r="F34" s="44"/>
      <c r="G34" s="44"/>
      <c r="H34" s="44"/>
      <c r="J34" s="159"/>
    </row>
    <row r="35" spans="2:8" ht="15">
      <c r="B35" s="43"/>
      <c r="C35" s="43"/>
      <c r="D35" s="44"/>
      <c r="E35" s="43"/>
      <c r="F35" s="44"/>
      <c r="G35" s="44"/>
      <c r="H35" s="44"/>
    </row>
    <row r="36" spans="2:8" ht="15" customHeight="1">
      <c r="B36" s="571" t="str">
        <f>Orçamento!B115</f>
        <v>Teresina (PI), 07de Maio de 2015</v>
      </c>
      <c r="C36" s="571"/>
      <c r="D36" s="45"/>
      <c r="E36" s="46"/>
      <c r="F36" s="47"/>
      <c r="G36" s="48"/>
      <c r="H36" s="44"/>
    </row>
    <row r="37" spans="2:8" ht="15">
      <c r="B37" s="49"/>
      <c r="C37" s="49"/>
      <c r="D37" s="45"/>
      <c r="E37" s="46"/>
      <c r="F37" s="47"/>
      <c r="G37" s="48"/>
      <c r="H37" s="44"/>
    </row>
    <row r="38" spans="2:8" ht="15">
      <c r="B38" s="50"/>
      <c r="C38" s="50"/>
      <c r="D38" s="51"/>
      <c r="E38" s="561"/>
      <c r="F38" s="561"/>
      <c r="G38" s="51"/>
      <c r="H38" s="43"/>
    </row>
    <row r="39" spans="2:8" ht="15">
      <c r="B39" s="50"/>
      <c r="C39" s="50"/>
      <c r="D39" s="51"/>
      <c r="E39" s="52"/>
      <c r="F39" s="52"/>
      <c r="G39" s="53"/>
      <c r="H39" s="44"/>
    </row>
    <row r="40" spans="2:8" ht="15">
      <c r="B40" s="50"/>
      <c r="C40" s="50"/>
      <c r="D40" s="51"/>
      <c r="E40" s="557"/>
      <c r="F40" s="557"/>
      <c r="G40" s="51"/>
      <c r="H40" s="44"/>
    </row>
    <row r="41" spans="2:8" ht="15">
      <c r="B41" s="129"/>
      <c r="C41" s="129"/>
      <c r="D41" s="129"/>
      <c r="E41" s="129"/>
      <c r="F41" s="129"/>
      <c r="G41" s="129"/>
      <c r="H41" s="129"/>
    </row>
    <row r="42" spans="2:8" ht="15">
      <c r="B42" s="129"/>
      <c r="C42" s="129"/>
      <c r="D42" s="129"/>
      <c r="E42" s="129"/>
      <c r="F42" s="129"/>
      <c r="G42" s="129"/>
      <c r="H42" s="129"/>
    </row>
    <row r="43" spans="2:8" ht="15">
      <c r="B43" s="129"/>
      <c r="C43" s="129"/>
      <c r="D43" s="129"/>
      <c r="E43" s="129"/>
      <c r="F43" s="129"/>
      <c r="G43" s="129"/>
      <c r="H43" s="129"/>
    </row>
  </sheetData>
  <sheetProtection/>
  <mergeCells count="17">
    <mergeCell ref="C14:C15"/>
    <mergeCell ref="F9:H9"/>
    <mergeCell ref="H14:H15"/>
    <mergeCell ref="B36:C36"/>
    <mergeCell ref="B14:B15"/>
    <mergeCell ref="E40:F40"/>
    <mergeCell ref="F10:H10"/>
    <mergeCell ref="E38:F38"/>
    <mergeCell ref="D14:D15"/>
    <mergeCell ref="F14:G14"/>
    <mergeCell ref="E14:E15"/>
    <mergeCell ref="F2:H3"/>
    <mergeCell ref="F4:H5"/>
    <mergeCell ref="F6:H7"/>
    <mergeCell ref="B9:E9"/>
    <mergeCell ref="B10:E10"/>
    <mergeCell ref="B12:H12"/>
  </mergeCells>
  <printOptions/>
  <pageMargins left="0.7086614173228347" right="0.71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73"/>
  <sheetViews>
    <sheetView view="pageBreakPreview" zoomScale="71" zoomScaleNormal="80" zoomScaleSheetLayoutView="71" workbookViewId="0" topLeftCell="B13">
      <pane ySplit="540" topLeftCell="A1" activePane="bottomLeft" state="split"/>
      <selection pane="topLeft" activeCell="F6" sqref="F6:L7"/>
      <selection pane="bottomLeft" activeCell="F18" sqref="F18"/>
    </sheetView>
  </sheetViews>
  <sheetFormatPr defaultColWidth="9.140625" defaultRowHeight="15"/>
  <cols>
    <col min="2" max="2" width="11.421875" style="0" customWidth="1"/>
    <col min="3" max="3" width="56.8515625" style="0" customWidth="1"/>
    <col min="4" max="4" width="8.140625" style="0" customWidth="1"/>
    <col min="5" max="5" width="53.421875" style="0" customWidth="1"/>
    <col min="6" max="6" width="29.421875" style="0" customWidth="1"/>
    <col min="7" max="10" width="16.7109375" style="0" customWidth="1"/>
    <col min="11" max="11" width="17.421875" style="0" customWidth="1"/>
    <col min="12" max="12" width="16.7109375" style="0" customWidth="1"/>
    <col min="14" max="14" width="17.140625" style="0" customWidth="1"/>
    <col min="18" max="18" width="15.00390625" style="0" customWidth="1"/>
  </cols>
  <sheetData>
    <row r="1" spans="2:14" ht="15.75" customHeight="1">
      <c r="B1" s="26"/>
      <c r="C1" s="20"/>
      <c r="D1" s="20"/>
      <c r="E1" s="20"/>
      <c r="F1" s="20"/>
      <c r="G1" s="27"/>
      <c r="H1" s="28"/>
      <c r="I1" s="28"/>
      <c r="J1" s="29"/>
      <c r="K1" s="29"/>
      <c r="L1" s="20"/>
      <c r="M1" s="20"/>
      <c r="N1" s="20"/>
    </row>
    <row r="2" spans="2:15" ht="18" customHeight="1">
      <c r="B2" s="580"/>
      <c r="C2" s="581"/>
      <c r="D2" s="580"/>
      <c r="E2" s="581"/>
      <c r="F2" s="586" t="s">
        <v>40</v>
      </c>
      <c r="G2" s="586"/>
      <c r="H2" s="586"/>
      <c r="I2" s="586"/>
      <c r="J2" s="586"/>
      <c r="K2" s="586"/>
      <c r="L2" s="587"/>
      <c r="M2" s="54"/>
      <c r="N2" s="54"/>
      <c r="O2" s="55"/>
    </row>
    <row r="3" spans="2:15" ht="18" customHeight="1">
      <c r="B3" s="582"/>
      <c r="C3" s="583"/>
      <c r="D3" s="582"/>
      <c r="E3" s="583"/>
      <c r="F3" s="588"/>
      <c r="G3" s="588"/>
      <c r="H3" s="588"/>
      <c r="I3" s="588"/>
      <c r="J3" s="588"/>
      <c r="K3" s="588"/>
      <c r="L3" s="589"/>
      <c r="M3" s="54"/>
      <c r="N3" s="54"/>
      <c r="O3" s="55"/>
    </row>
    <row r="4" spans="2:15" ht="18" customHeight="1">
      <c r="B4" s="582"/>
      <c r="C4" s="583"/>
      <c r="D4" s="582"/>
      <c r="E4" s="583"/>
      <c r="F4" s="591" t="s">
        <v>41</v>
      </c>
      <c r="G4" s="591"/>
      <c r="H4" s="591"/>
      <c r="I4" s="591"/>
      <c r="J4" s="591"/>
      <c r="K4" s="591"/>
      <c r="L4" s="592"/>
      <c r="M4" s="56"/>
      <c r="N4" s="56"/>
      <c r="O4" s="55"/>
    </row>
    <row r="5" spans="2:21" ht="18" customHeight="1">
      <c r="B5" s="582"/>
      <c r="C5" s="583"/>
      <c r="D5" s="582"/>
      <c r="E5" s="583"/>
      <c r="F5" s="593"/>
      <c r="G5" s="593"/>
      <c r="H5" s="593"/>
      <c r="I5" s="593"/>
      <c r="J5" s="593"/>
      <c r="K5" s="593"/>
      <c r="L5" s="594"/>
      <c r="M5" s="56"/>
      <c r="N5" s="56"/>
      <c r="O5" s="55"/>
      <c r="P5" s="55"/>
      <c r="Q5" s="55"/>
      <c r="R5" s="55"/>
      <c r="S5" s="55"/>
      <c r="T5" s="55"/>
      <c r="U5" s="55"/>
    </row>
    <row r="6" spans="2:21" ht="18" customHeight="1">
      <c r="B6" s="582"/>
      <c r="C6" s="583"/>
      <c r="D6" s="582"/>
      <c r="E6" s="583"/>
      <c r="F6" s="595" t="s">
        <v>28</v>
      </c>
      <c r="G6" s="595"/>
      <c r="H6" s="595"/>
      <c r="I6" s="595"/>
      <c r="J6" s="595"/>
      <c r="K6" s="595"/>
      <c r="L6" s="596"/>
      <c r="M6" s="57"/>
      <c r="N6" s="57"/>
      <c r="O6" s="55"/>
      <c r="P6" s="55"/>
      <c r="Q6" s="55"/>
      <c r="R6" s="55"/>
      <c r="S6" s="55"/>
      <c r="T6" s="55"/>
      <c r="U6" s="55"/>
    </row>
    <row r="7" spans="2:21" ht="18" customHeight="1">
      <c r="B7" s="584"/>
      <c r="C7" s="585"/>
      <c r="D7" s="584"/>
      <c r="E7" s="585"/>
      <c r="F7" s="597"/>
      <c r="G7" s="597"/>
      <c r="H7" s="597"/>
      <c r="I7" s="597"/>
      <c r="J7" s="597"/>
      <c r="K7" s="597"/>
      <c r="L7" s="598"/>
      <c r="M7" s="57"/>
      <c r="N7" s="57"/>
      <c r="O7" s="55"/>
      <c r="P7" s="55"/>
      <c r="Q7" s="572"/>
      <c r="R7" s="572"/>
      <c r="S7" s="572"/>
      <c r="T7" s="572"/>
      <c r="U7" s="55"/>
    </row>
    <row r="8" spans="2:20" s="61" customFormat="1" ht="4.5" customHeight="1">
      <c r="B8" s="58"/>
      <c r="C8" s="58"/>
      <c r="D8" s="58"/>
      <c r="E8" s="58"/>
      <c r="F8" s="59"/>
      <c r="G8" s="59"/>
      <c r="H8" s="59"/>
      <c r="I8" s="59"/>
      <c r="J8" s="59"/>
      <c r="K8" s="59"/>
      <c r="L8" s="59"/>
      <c r="M8" s="60"/>
      <c r="N8" s="60"/>
      <c r="Q8" s="572"/>
      <c r="R8" s="572"/>
      <c r="S8" s="572"/>
      <c r="T8" s="572"/>
    </row>
    <row r="9" spans="2:21" ht="24" customHeight="1">
      <c r="B9" s="573" t="s">
        <v>457</v>
      </c>
      <c r="C9" s="573"/>
      <c r="D9" s="573"/>
      <c r="E9" s="573"/>
      <c r="F9" s="574" t="s">
        <v>459</v>
      </c>
      <c r="G9" s="574"/>
      <c r="H9" s="574"/>
      <c r="I9" s="574"/>
      <c r="J9" s="574"/>
      <c r="K9" s="574"/>
      <c r="L9" s="574"/>
      <c r="M9" s="62"/>
      <c r="N9" s="62"/>
      <c r="O9" s="55"/>
      <c r="P9" s="55"/>
      <c r="Q9" s="572"/>
      <c r="R9" s="572"/>
      <c r="S9" s="572"/>
      <c r="T9" s="572"/>
      <c r="U9" s="55"/>
    </row>
    <row r="10" spans="2:21" ht="24" customHeight="1">
      <c r="B10" s="575" t="s">
        <v>458</v>
      </c>
      <c r="C10" s="573"/>
      <c r="D10" s="573"/>
      <c r="E10" s="573"/>
      <c r="F10" s="576" t="s">
        <v>269</v>
      </c>
      <c r="G10" s="576"/>
      <c r="H10" s="576"/>
      <c r="I10" s="576"/>
      <c r="J10" s="576"/>
      <c r="K10" s="576"/>
      <c r="L10" s="576"/>
      <c r="M10" s="63"/>
      <c r="N10" s="63"/>
      <c r="O10" s="55"/>
      <c r="P10" s="55"/>
      <c r="Q10" s="572"/>
      <c r="R10" s="572"/>
      <c r="S10" s="572"/>
      <c r="T10" s="572"/>
      <c r="U10" s="55"/>
    </row>
    <row r="11" spans="2:21" ht="4.5" customHeight="1" thickBot="1"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P11" s="55"/>
      <c r="Q11" s="572"/>
      <c r="R11" s="572"/>
      <c r="S11" s="572"/>
      <c r="T11" s="572"/>
      <c r="U11" s="55"/>
    </row>
    <row r="12" spans="2:21" ht="24.75" customHeight="1" thickBot="1">
      <c r="B12" s="577" t="s">
        <v>45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9"/>
      <c r="M12" s="64"/>
      <c r="N12" s="64"/>
      <c r="P12" s="55"/>
      <c r="Q12" s="572"/>
      <c r="R12" s="572"/>
      <c r="S12" s="572"/>
      <c r="T12" s="572"/>
      <c r="U12" s="55"/>
    </row>
    <row r="13" spans="2:20" s="55" customFormat="1" ht="4.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4"/>
      <c r="N13" s="64"/>
      <c r="Q13" s="572"/>
      <c r="R13" s="572"/>
      <c r="S13" s="572"/>
      <c r="T13" s="572"/>
    </row>
    <row r="14" spans="2:21" ht="18" customHeight="1">
      <c r="B14" s="360" t="s">
        <v>14</v>
      </c>
      <c r="C14" s="70" t="s">
        <v>15</v>
      </c>
      <c r="D14" s="70" t="s">
        <v>42</v>
      </c>
      <c r="E14" s="71" t="s">
        <v>46</v>
      </c>
      <c r="F14" s="361" t="s">
        <v>99</v>
      </c>
      <c r="G14" s="361" t="s">
        <v>47</v>
      </c>
      <c r="H14" s="361" t="s">
        <v>48</v>
      </c>
      <c r="I14" s="72" t="s">
        <v>49</v>
      </c>
      <c r="J14" s="361" t="s">
        <v>50</v>
      </c>
      <c r="K14" s="72" t="s">
        <v>100</v>
      </c>
      <c r="L14" s="73" t="s">
        <v>13</v>
      </c>
      <c r="M14" s="64"/>
      <c r="N14" s="64"/>
      <c r="P14" s="55"/>
      <c r="Q14" s="572"/>
      <c r="R14" s="572"/>
      <c r="S14" s="572"/>
      <c r="T14" s="572"/>
      <c r="U14" s="55"/>
    </row>
    <row r="15" spans="2:20" s="61" customFormat="1" ht="4.5" customHeight="1"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6"/>
      <c r="N15" s="66"/>
      <c r="Q15" s="572"/>
      <c r="R15" s="572"/>
      <c r="S15" s="572"/>
      <c r="T15" s="572"/>
    </row>
    <row r="16" spans="2:20" s="61" customFormat="1" ht="18" customHeight="1">
      <c r="B16" s="94" t="str">
        <f>Orçamento!B17</f>
        <v>1.00</v>
      </c>
      <c r="C16" s="95" t="str">
        <f>Orçamento!C17</f>
        <v>SERVIÇOS PRELIMINARES</v>
      </c>
      <c r="D16" s="95"/>
      <c r="E16" s="96"/>
      <c r="F16" s="97"/>
      <c r="G16" s="97"/>
      <c r="H16" s="97"/>
      <c r="I16" s="97"/>
      <c r="J16" s="97"/>
      <c r="K16" s="97"/>
      <c r="L16" s="98"/>
      <c r="M16" s="66"/>
      <c r="N16" s="66"/>
      <c r="Q16" s="288"/>
      <c r="R16" s="288"/>
      <c r="S16" s="288"/>
      <c r="T16" s="288"/>
    </row>
    <row r="17" spans="2:20" s="61" customFormat="1" ht="18" customHeight="1">
      <c r="B17" s="99" t="str">
        <f>Orçamento!B18</f>
        <v>1.1</v>
      </c>
      <c r="C17" s="100" t="str">
        <f>Orçamento!C18</f>
        <v>Placa da obra - 300 x 150</v>
      </c>
      <c r="D17" s="335" t="s">
        <v>32</v>
      </c>
      <c r="E17" s="101"/>
      <c r="F17" s="102"/>
      <c r="G17" s="102"/>
      <c r="H17" s="102"/>
      <c r="I17" s="102"/>
      <c r="J17" s="102"/>
      <c r="K17" s="102"/>
      <c r="L17" s="103"/>
      <c r="M17" s="66"/>
      <c r="N17" s="66"/>
      <c r="Q17" s="288"/>
      <c r="R17" s="288"/>
      <c r="S17" s="288"/>
      <c r="T17" s="288"/>
    </row>
    <row r="18" spans="2:20" s="61" customFormat="1" ht="18" customHeight="1">
      <c r="B18" s="117"/>
      <c r="C18" s="161"/>
      <c r="D18" s="161"/>
      <c r="E18" s="110" t="s">
        <v>279</v>
      </c>
      <c r="F18" s="81">
        <v>3</v>
      </c>
      <c r="G18" s="83"/>
      <c r="H18" s="81">
        <v>1.5</v>
      </c>
      <c r="I18" s="81">
        <f>ROUND((F18*H18),2)</f>
        <v>4.5</v>
      </c>
      <c r="J18" s="157"/>
      <c r="K18" s="83"/>
      <c r="L18" s="88">
        <f>I18</f>
        <v>4.5</v>
      </c>
      <c r="M18" s="66"/>
      <c r="N18" s="66"/>
      <c r="Q18" s="288"/>
      <c r="R18" s="288"/>
      <c r="S18" s="288"/>
      <c r="T18" s="288"/>
    </row>
    <row r="19" spans="2:20" s="61" customFormat="1" ht="18" customHeight="1">
      <c r="B19" s="99" t="str">
        <f>Orçamento!B19</f>
        <v>1.3</v>
      </c>
      <c r="C19" s="100" t="str">
        <f>Orçamento!C19</f>
        <v>Capina e limpeza manual de terreno</v>
      </c>
      <c r="D19" s="101"/>
      <c r="E19" s="101"/>
      <c r="F19" s="102"/>
      <c r="G19" s="102"/>
      <c r="H19" s="102"/>
      <c r="I19" s="102"/>
      <c r="J19" s="102"/>
      <c r="K19" s="102"/>
      <c r="L19" s="103"/>
      <c r="M19" s="66"/>
      <c r="N19" s="66"/>
      <c r="Q19" s="288"/>
      <c r="R19" s="288"/>
      <c r="S19" s="288"/>
      <c r="T19" s="288"/>
    </row>
    <row r="20" spans="2:20" s="61" customFormat="1" ht="18" customHeight="1">
      <c r="B20" s="125"/>
      <c r="C20" s="109"/>
      <c r="D20" s="109"/>
      <c r="E20" s="104" t="s">
        <v>282</v>
      </c>
      <c r="F20" s="105"/>
      <c r="G20" s="105"/>
      <c r="H20" s="105"/>
      <c r="I20" s="86">
        <v>1596.54</v>
      </c>
      <c r="J20" s="105"/>
      <c r="K20" s="105"/>
      <c r="L20" s="88">
        <f>I20</f>
        <v>1596.54</v>
      </c>
      <c r="M20" s="66"/>
      <c r="N20" s="66"/>
      <c r="Q20" s="288"/>
      <c r="R20" s="288"/>
      <c r="S20" s="288"/>
      <c r="T20" s="288"/>
    </row>
    <row r="21" spans="2:20" s="61" customFormat="1" ht="18" customHeight="1">
      <c r="B21" s="69" t="str">
        <f>Orçamento!B20</f>
        <v>2.00</v>
      </c>
      <c r="C21" s="70" t="str">
        <f>Orçamento!C20</f>
        <v>RETIRADAS E DEMOLIÇÕES </v>
      </c>
      <c r="D21" s="70"/>
      <c r="E21" s="71"/>
      <c r="F21" s="72"/>
      <c r="G21" s="72"/>
      <c r="H21" s="72"/>
      <c r="I21" s="72"/>
      <c r="J21" s="72"/>
      <c r="K21" s="72"/>
      <c r="L21" s="73"/>
      <c r="M21" s="66"/>
      <c r="N21" s="66"/>
      <c r="Q21" s="288"/>
      <c r="R21" s="288"/>
      <c r="S21" s="288"/>
      <c r="T21" s="288"/>
    </row>
    <row r="22" spans="2:20" s="61" customFormat="1" ht="18" customHeight="1">
      <c r="B22" s="99" t="str">
        <f>Orçamento!B21</f>
        <v>2.1</v>
      </c>
      <c r="C22" s="100" t="str">
        <f>Orçamento!C21</f>
        <v>Demolição de reboco</v>
      </c>
      <c r="D22" s="335" t="s">
        <v>252</v>
      </c>
      <c r="E22" s="101"/>
      <c r="F22" s="102"/>
      <c r="G22" s="102"/>
      <c r="H22" s="102"/>
      <c r="I22" s="102"/>
      <c r="J22" s="102"/>
      <c r="K22" s="102"/>
      <c r="L22" s="103"/>
      <c r="M22" s="66"/>
      <c r="N22" s="66"/>
      <c r="Q22" s="288"/>
      <c r="R22" s="288"/>
      <c r="S22" s="288"/>
      <c r="T22" s="288"/>
    </row>
    <row r="23" spans="2:20" s="61" customFormat="1" ht="18" customHeight="1">
      <c r="B23" s="117"/>
      <c r="C23" s="110"/>
      <c r="D23" s="161"/>
      <c r="E23" s="110" t="s">
        <v>283</v>
      </c>
      <c r="F23" s="81">
        <v>18.4</v>
      </c>
      <c r="G23" s="81"/>
      <c r="H23" s="81">
        <v>1</v>
      </c>
      <c r="I23" s="81">
        <f>F23*H23</f>
        <v>18.4</v>
      </c>
      <c r="J23" s="81"/>
      <c r="K23" s="115"/>
      <c r="L23" s="82">
        <f>I23</f>
        <v>18.4</v>
      </c>
      <c r="M23" s="66"/>
      <c r="N23" s="66"/>
      <c r="Q23" s="288"/>
      <c r="R23" s="288"/>
      <c r="S23" s="288"/>
      <c r="T23" s="288"/>
    </row>
    <row r="24" spans="2:20" s="61" customFormat="1" ht="18" customHeight="1">
      <c r="B24" s="117"/>
      <c r="C24" s="161"/>
      <c r="D24" s="161"/>
      <c r="E24" s="110" t="s">
        <v>285</v>
      </c>
      <c r="F24" s="81">
        <v>15.4</v>
      </c>
      <c r="G24" s="81"/>
      <c r="H24" s="81">
        <v>1</v>
      </c>
      <c r="I24" s="81">
        <f>F24*H24</f>
        <v>15.4</v>
      </c>
      <c r="J24" s="81"/>
      <c r="K24" s="115"/>
      <c r="L24" s="82">
        <f>I24</f>
        <v>15.4</v>
      </c>
      <c r="M24" s="66"/>
      <c r="N24" s="66"/>
      <c r="Q24" s="288"/>
      <c r="R24" s="288"/>
      <c r="S24" s="288"/>
      <c r="T24" s="288"/>
    </row>
    <row r="25" spans="2:20" s="61" customFormat="1" ht="18" customHeight="1">
      <c r="B25" s="117"/>
      <c r="C25" s="161"/>
      <c r="D25" s="161"/>
      <c r="E25" s="110" t="s">
        <v>286</v>
      </c>
      <c r="F25" s="81">
        <v>15.6</v>
      </c>
      <c r="G25" s="81"/>
      <c r="H25" s="81">
        <v>1</v>
      </c>
      <c r="I25" s="81">
        <f>F25*H25</f>
        <v>15.6</v>
      </c>
      <c r="J25" s="81"/>
      <c r="K25" s="115"/>
      <c r="L25" s="82">
        <f>I25</f>
        <v>15.6</v>
      </c>
      <c r="M25" s="66"/>
      <c r="N25" s="66"/>
      <c r="Q25" s="288"/>
      <c r="R25" s="288"/>
      <c r="S25" s="288"/>
      <c r="T25" s="288"/>
    </row>
    <row r="26" spans="2:20" s="61" customFormat="1" ht="18" customHeight="1">
      <c r="B26" s="117"/>
      <c r="C26" s="161"/>
      <c r="D26" s="161"/>
      <c r="E26" s="110" t="s">
        <v>287</v>
      </c>
      <c r="F26" s="81">
        <v>7.9</v>
      </c>
      <c r="G26" s="81"/>
      <c r="H26" s="81">
        <v>1</v>
      </c>
      <c r="I26" s="81">
        <f>F26*H26</f>
        <v>7.9</v>
      </c>
      <c r="J26" s="81"/>
      <c r="K26" s="115"/>
      <c r="L26" s="82">
        <f>I26</f>
        <v>7.9</v>
      </c>
      <c r="M26" s="66"/>
      <c r="N26" s="66"/>
      <c r="Q26" s="288"/>
      <c r="R26" s="288"/>
      <c r="S26" s="288"/>
      <c r="T26" s="288"/>
    </row>
    <row r="27" spans="2:20" s="61" customFormat="1" ht="18" customHeight="1">
      <c r="B27" s="117"/>
      <c r="C27" s="161"/>
      <c r="D27" s="161"/>
      <c r="E27" s="110" t="s">
        <v>253</v>
      </c>
      <c r="F27" s="81">
        <v>24.54</v>
      </c>
      <c r="G27" s="81"/>
      <c r="H27" s="81">
        <v>2</v>
      </c>
      <c r="I27" s="81">
        <f>F27*H27</f>
        <v>49.08</v>
      </c>
      <c r="J27" s="81"/>
      <c r="K27" s="115"/>
      <c r="L27" s="82">
        <f>I27</f>
        <v>49.08</v>
      </c>
      <c r="M27" s="66"/>
      <c r="N27" s="66"/>
      <c r="Q27" s="288"/>
      <c r="R27" s="288"/>
      <c r="S27" s="288"/>
      <c r="T27" s="288"/>
    </row>
    <row r="28" spans="2:20" s="61" customFormat="1" ht="18" customHeight="1">
      <c r="B28" s="125"/>
      <c r="C28" s="109"/>
      <c r="D28" s="109"/>
      <c r="E28" s="109"/>
      <c r="F28" s="105"/>
      <c r="G28" s="105"/>
      <c r="H28" s="105"/>
      <c r="I28" s="105"/>
      <c r="J28" s="105"/>
      <c r="K28" s="105"/>
      <c r="L28" s="88">
        <f>SUM(L23:L27)</f>
        <v>106.38</v>
      </c>
      <c r="M28" s="66"/>
      <c r="N28" s="66"/>
      <c r="Q28" s="288"/>
      <c r="R28" s="288"/>
      <c r="S28" s="288"/>
      <c r="T28" s="288"/>
    </row>
    <row r="29" spans="2:20" s="61" customFormat="1" ht="18" customHeight="1">
      <c r="B29" s="99" t="str">
        <f>Orçamento!B22</f>
        <v>2.2</v>
      </c>
      <c r="C29" s="100" t="str">
        <f>Orçamento!C22</f>
        <v>Demolição de forro de gesso</v>
      </c>
      <c r="D29" s="335" t="s">
        <v>32</v>
      </c>
      <c r="E29" s="101"/>
      <c r="F29" s="102"/>
      <c r="G29" s="102"/>
      <c r="H29" s="102"/>
      <c r="I29" s="102"/>
      <c r="J29" s="102"/>
      <c r="K29" s="102"/>
      <c r="L29" s="103"/>
      <c r="M29" s="66"/>
      <c r="N29" s="66"/>
      <c r="Q29" s="288"/>
      <c r="R29" s="288"/>
      <c r="S29" s="288"/>
      <c r="T29" s="288"/>
    </row>
    <row r="30" spans="2:20" s="61" customFormat="1" ht="18" customHeight="1">
      <c r="B30" s="117"/>
      <c r="C30" s="161"/>
      <c r="D30" s="161"/>
      <c r="E30" s="110" t="s">
        <v>283</v>
      </c>
      <c r="F30" s="81"/>
      <c r="G30" s="81"/>
      <c r="H30" s="81"/>
      <c r="I30" s="81">
        <v>15.95</v>
      </c>
      <c r="J30" s="115"/>
      <c r="K30" s="115"/>
      <c r="L30" s="82">
        <f>I30</f>
        <v>15.95</v>
      </c>
      <c r="M30" s="66"/>
      <c r="N30" s="66"/>
      <c r="Q30" s="288"/>
      <c r="R30" s="288"/>
      <c r="S30" s="288"/>
      <c r="T30" s="288"/>
    </row>
    <row r="31" spans="2:20" s="61" customFormat="1" ht="18" customHeight="1">
      <c r="B31" s="117"/>
      <c r="C31" s="161"/>
      <c r="D31" s="161"/>
      <c r="E31" s="110" t="s">
        <v>284</v>
      </c>
      <c r="F31" s="81"/>
      <c r="G31" s="81"/>
      <c r="H31" s="81"/>
      <c r="I31" s="81">
        <v>3.83</v>
      </c>
      <c r="J31" s="115"/>
      <c r="K31" s="115"/>
      <c r="L31" s="82">
        <f aca="true" t="shared" si="0" ref="L31:L37">I31</f>
        <v>3.83</v>
      </c>
      <c r="M31" s="66"/>
      <c r="N31" s="66"/>
      <c r="Q31" s="288"/>
      <c r="R31" s="288"/>
      <c r="S31" s="288"/>
      <c r="T31" s="288"/>
    </row>
    <row r="32" spans="2:20" s="61" customFormat="1" ht="18" customHeight="1">
      <c r="B32" s="117"/>
      <c r="C32" s="161"/>
      <c r="D32" s="161"/>
      <c r="E32" s="110" t="s">
        <v>285</v>
      </c>
      <c r="F32" s="81"/>
      <c r="G32" s="81"/>
      <c r="H32" s="81"/>
      <c r="I32" s="81">
        <v>13.72</v>
      </c>
      <c r="J32" s="115"/>
      <c r="K32" s="115"/>
      <c r="L32" s="82">
        <f t="shared" si="0"/>
        <v>13.72</v>
      </c>
      <c r="M32" s="66"/>
      <c r="N32" s="66"/>
      <c r="Q32" s="288"/>
      <c r="R32" s="288"/>
      <c r="S32" s="288"/>
      <c r="T32" s="288"/>
    </row>
    <row r="33" spans="2:20" s="61" customFormat="1" ht="18" customHeight="1">
      <c r="B33" s="117"/>
      <c r="C33" s="161"/>
      <c r="D33" s="161"/>
      <c r="E33" s="110" t="s">
        <v>286</v>
      </c>
      <c r="F33" s="81"/>
      <c r="G33" s="81"/>
      <c r="H33" s="81"/>
      <c r="I33" s="81">
        <v>14.21</v>
      </c>
      <c r="J33" s="115"/>
      <c r="K33" s="115"/>
      <c r="L33" s="82">
        <f t="shared" si="0"/>
        <v>14.21</v>
      </c>
      <c r="M33" s="66"/>
      <c r="N33" s="66"/>
      <c r="Q33" s="288"/>
      <c r="R33" s="288"/>
      <c r="S33" s="288"/>
      <c r="T33" s="288"/>
    </row>
    <row r="34" spans="2:20" s="61" customFormat="1" ht="18" customHeight="1">
      <c r="B34" s="117"/>
      <c r="C34" s="161"/>
      <c r="D34" s="161"/>
      <c r="E34" s="110" t="s">
        <v>287</v>
      </c>
      <c r="F34" s="81"/>
      <c r="G34" s="81"/>
      <c r="H34" s="81"/>
      <c r="I34" s="81">
        <v>3.63</v>
      </c>
      <c r="J34" s="115"/>
      <c r="K34" s="115"/>
      <c r="L34" s="82">
        <f t="shared" si="0"/>
        <v>3.63</v>
      </c>
      <c r="M34" s="66"/>
      <c r="N34" s="66"/>
      <c r="Q34" s="288"/>
      <c r="R34" s="288"/>
      <c r="S34" s="288"/>
      <c r="T34" s="288"/>
    </row>
    <row r="35" spans="2:20" s="61" customFormat="1" ht="18" customHeight="1">
      <c r="B35" s="117"/>
      <c r="C35" s="161"/>
      <c r="D35" s="161"/>
      <c r="E35" s="110" t="s">
        <v>288</v>
      </c>
      <c r="F35" s="81"/>
      <c r="G35" s="81"/>
      <c r="H35" s="81"/>
      <c r="I35" s="81">
        <v>3.19</v>
      </c>
      <c r="J35" s="115"/>
      <c r="K35" s="115"/>
      <c r="L35" s="82">
        <f t="shared" si="0"/>
        <v>3.19</v>
      </c>
      <c r="M35" s="66"/>
      <c r="N35" s="66"/>
      <c r="Q35" s="288"/>
      <c r="R35" s="288"/>
      <c r="S35" s="288"/>
      <c r="T35" s="288"/>
    </row>
    <row r="36" spans="2:20" s="61" customFormat="1" ht="18" customHeight="1">
      <c r="B36" s="117"/>
      <c r="C36" s="161"/>
      <c r="D36" s="161"/>
      <c r="E36" s="110" t="s">
        <v>289</v>
      </c>
      <c r="F36" s="81"/>
      <c r="G36" s="81"/>
      <c r="H36" s="81"/>
      <c r="I36" s="81">
        <v>10.96</v>
      </c>
      <c r="J36" s="115"/>
      <c r="K36" s="115"/>
      <c r="L36" s="82">
        <f t="shared" si="0"/>
        <v>10.96</v>
      </c>
      <c r="M36" s="66"/>
      <c r="N36" s="66"/>
      <c r="Q36" s="288"/>
      <c r="R36" s="288"/>
      <c r="S36" s="288"/>
      <c r="T36" s="288"/>
    </row>
    <row r="37" spans="2:20" s="61" customFormat="1" ht="18" customHeight="1">
      <c r="B37" s="117"/>
      <c r="C37" s="161"/>
      <c r="D37" s="161"/>
      <c r="E37" s="110" t="s">
        <v>290</v>
      </c>
      <c r="F37" s="81"/>
      <c r="G37" s="81"/>
      <c r="H37" s="81"/>
      <c r="I37" s="81">
        <v>2.61</v>
      </c>
      <c r="J37" s="115"/>
      <c r="K37" s="115"/>
      <c r="L37" s="82">
        <f t="shared" si="0"/>
        <v>2.61</v>
      </c>
      <c r="M37" s="66"/>
      <c r="N37" s="66"/>
      <c r="Q37" s="288"/>
      <c r="R37" s="288"/>
      <c r="S37" s="288"/>
      <c r="T37" s="288"/>
    </row>
    <row r="38" spans="2:20" s="61" customFormat="1" ht="18" customHeight="1">
      <c r="B38" s="117"/>
      <c r="C38" s="161"/>
      <c r="D38" s="161"/>
      <c r="E38" s="161"/>
      <c r="F38" s="115"/>
      <c r="G38" s="115"/>
      <c r="H38" s="115"/>
      <c r="I38" s="115"/>
      <c r="J38" s="115"/>
      <c r="K38" s="115"/>
      <c r="L38" s="90">
        <f>SUM(L30:L37)</f>
        <v>68.10000000000001</v>
      </c>
      <c r="M38" s="66"/>
      <c r="N38" s="66"/>
      <c r="Q38" s="288"/>
      <c r="R38" s="288"/>
      <c r="S38" s="288"/>
      <c r="T38" s="288"/>
    </row>
    <row r="39" spans="2:20" s="61" customFormat="1" ht="18" customHeight="1">
      <c r="B39" s="99" t="str">
        <f>Orçamento!B23</f>
        <v>2.3</v>
      </c>
      <c r="C39" s="100" t="str">
        <f>Orçamento!C23</f>
        <v>Demolição de piso cerâmico</v>
      </c>
      <c r="D39" s="335" t="s">
        <v>32</v>
      </c>
      <c r="E39" s="101"/>
      <c r="F39" s="102"/>
      <c r="G39" s="102"/>
      <c r="H39" s="102"/>
      <c r="I39" s="102"/>
      <c r="J39" s="102"/>
      <c r="K39" s="102"/>
      <c r="L39" s="103"/>
      <c r="M39" s="66"/>
      <c r="N39" s="66"/>
      <c r="Q39" s="288"/>
      <c r="R39" s="288"/>
      <c r="S39" s="288"/>
      <c r="T39" s="288"/>
    </row>
    <row r="40" spans="2:20" s="61" customFormat="1" ht="18" customHeight="1">
      <c r="B40" s="117"/>
      <c r="C40" s="161"/>
      <c r="D40" s="161"/>
      <c r="E40" s="110" t="s">
        <v>284</v>
      </c>
      <c r="F40" s="81"/>
      <c r="G40" s="81"/>
      <c r="H40" s="81"/>
      <c r="I40" s="81">
        <v>3.83</v>
      </c>
      <c r="J40" s="115"/>
      <c r="K40" s="115"/>
      <c r="L40" s="82">
        <f>I40</f>
        <v>3.83</v>
      </c>
      <c r="M40" s="66"/>
      <c r="N40" s="66"/>
      <c r="Q40" s="288"/>
      <c r="R40" s="288"/>
      <c r="S40" s="288"/>
      <c r="T40" s="288"/>
    </row>
    <row r="41" spans="2:20" s="61" customFormat="1" ht="18" customHeight="1">
      <c r="B41" s="117"/>
      <c r="C41" s="161"/>
      <c r="D41" s="161"/>
      <c r="E41" s="110" t="s">
        <v>287</v>
      </c>
      <c r="F41" s="81"/>
      <c r="G41" s="81"/>
      <c r="H41" s="81"/>
      <c r="I41" s="81">
        <v>3.63</v>
      </c>
      <c r="J41" s="115"/>
      <c r="K41" s="115"/>
      <c r="L41" s="82">
        <f>I41</f>
        <v>3.63</v>
      </c>
      <c r="M41" s="66"/>
      <c r="N41" s="66"/>
      <c r="Q41" s="288"/>
      <c r="R41" s="288"/>
      <c r="S41" s="288"/>
      <c r="T41" s="288"/>
    </row>
    <row r="42" spans="2:20" s="61" customFormat="1" ht="18" customHeight="1">
      <c r="B42" s="117"/>
      <c r="C42" s="161"/>
      <c r="D42" s="161"/>
      <c r="E42" s="110" t="s">
        <v>290</v>
      </c>
      <c r="F42" s="81"/>
      <c r="G42" s="81"/>
      <c r="H42" s="81"/>
      <c r="I42" s="81">
        <v>2.61</v>
      </c>
      <c r="J42" s="115"/>
      <c r="K42" s="115"/>
      <c r="L42" s="82">
        <f>I42</f>
        <v>2.61</v>
      </c>
      <c r="M42" s="66"/>
      <c r="N42" s="66"/>
      <c r="Q42" s="288"/>
      <c r="R42" s="288"/>
      <c r="S42" s="288"/>
      <c r="T42" s="288"/>
    </row>
    <row r="43" spans="2:20" s="61" customFormat="1" ht="18" customHeight="1">
      <c r="B43" s="125"/>
      <c r="C43" s="109"/>
      <c r="D43" s="109"/>
      <c r="E43" s="104"/>
      <c r="F43" s="86"/>
      <c r="G43" s="86"/>
      <c r="H43" s="86"/>
      <c r="I43" s="86"/>
      <c r="J43" s="105"/>
      <c r="K43" s="105"/>
      <c r="L43" s="88">
        <f>SUM(L40:L42)</f>
        <v>10.07</v>
      </c>
      <c r="M43" s="66"/>
      <c r="N43" s="66"/>
      <c r="Q43" s="288"/>
      <c r="R43" s="288"/>
      <c r="S43" s="288"/>
      <c r="T43" s="288"/>
    </row>
    <row r="44" spans="2:20" s="61" customFormat="1" ht="18" customHeight="1">
      <c r="B44" s="114" t="str">
        <f>Orçamento!B24</f>
        <v>2.4</v>
      </c>
      <c r="C44" s="110" t="str">
        <f>Orçamento!C24</f>
        <v>Demolição revestimento cerâmico</v>
      </c>
      <c r="D44" s="335" t="s">
        <v>32</v>
      </c>
      <c r="E44" s="161"/>
      <c r="F44" s="115"/>
      <c r="G44" s="115"/>
      <c r="H44" s="115"/>
      <c r="I44" s="115"/>
      <c r="J44" s="115"/>
      <c r="K44" s="115"/>
      <c r="L44" s="229"/>
      <c r="M44" s="66"/>
      <c r="N44" s="66"/>
      <c r="Q44" s="288"/>
      <c r="R44" s="288"/>
      <c r="S44" s="288"/>
      <c r="T44" s="288"/>
    </row>
    <row r="45" spans="2:20" s="61" customFormat="1" ht="18" customHeight="1">
      <c r="B45" s="117"/>
      <c r="C45" s="161"/>
      <c r="D45" s="161"/>
      <c r="E45" s="110" t="s">
        <v>284</v>
      </c>
      <c r="F45" s="81">
        <v>8.24</v>
      </c>
      <c r="G45" s="115"/>
      <c r="H45" s="81">
        <v>1.6</v>
      </c>
      <c r="I45" s="81">
        <f>F45*H45</f>
        <v>13.184000000000001</v>
      </c>
      <c r="J45" s="81"/>
      <c r="K45" s="81"/>
      <c r="L45" s="82">
        <f>I45</f>
        <v>13.184000000000001</v>
      </c>
      <c r="M45" s="66"/>
      <c r="N45" s="66"/>
      <c r="Q45" s="288"/>
      <c r="R45" s="288"/>
      <c r="S45" s="288"/>
      <c r="T45" s="288"/>
    </row>
    <row r="46" spans="2:20" s="61" customFormat="1" ht="18" customHeight="1">
      <c r="B46" s="117"/>
      <c r="C46" s="161"/>
      <c r="D46" s="161"/>
      <c r="E46" s="110" t="s">
        <v>287</v>
      </c>
      <c r="F46" s="81">
        <v>7.9</v>
      </c>
      <c r="G46" s="115"/>
      <c r="H46" s="81">
        <v>1.6</v>
      </c>
      <c r="I46" s="81">
        <f>F46*H46</f>
        <v>12.64</v>
      </c>
      <c r="J46" s="81"/>
      <c r="K46" s="81"/>
      <c r="L46" s="82">
        <f>I46</f>
        <v>12.64</v>
      </c>
      <c r="M46" s="66"/>
      <c r="N46" s="66"/>
      <c r="Q46" s="288"/>
      <c r="R46" s="288"/>
      <c r="S46" s="288"/>
      <c r="T46" s="288"/>
    </row>
    <row r="47" spans="2:20" s="61" customFormat="1" ht="18" customHeight="1">
      <c r="B47" s="117"/>
      <c r="C47" s="161"/>
      <c r="D47" s="161"/>
      <c r="E47" s="110" t="s">
        <v>290</v>
      </c>
      <c r="F47" s="81">
        <v>6.7</v>
      </c>
      <c r="G47" s="115"/>
      <c r="H47" s="81">
        <v>1.6</v>
      </c>
      <c r="I47" s="81">
        <f>F47*H47</f>
        <v>10.72</v>
      </c>
      <c r="J47" s="81"/>
      <c r="K47" s="81"/>
      <c r="L47" s="82">
        <f>I47</f>
        <v>10.72</v>
      </c>
      <c r="M47" s="66"/>
      <c r="N47" s="66"/>
      <c r="Q47" s="288"/>
      <c r="R47" s="288"/>
      <c r="S47" s="288"/>
      <c r="T47" s="288"/>
    </row>
    <row r="48" spans="2:20" s="61" customFormat="1" ht="18" customHeight="1">
      <c r="B48" s="125"/>
      <c r="C48" s="109"/>
      <c r="D48" s="109"/>
      <c r="E48" s="109"/>
      <c r="F48" s="105"/>
      <c r="G48" s="105"/>
      <c r="H48" s="105"/>
      <c r="I48" s="105"/>
      <c r="J48" s="105"/>
      <c r="K48" s="105"/>
      <c r="L48" s="88">
        <f>SUM(L45:L47)</f>
        <v>36.544000000000004</v>
      </c>
      <c r="M48" s="66"/>
      <c r="N48" s="66"/>
      <c r="Q48" s="288"/>
      <c r="R48" s="288"/>
      <c r="S48" s="288"/>
      <c r="T48" s="288"/>
    </row>
    <row r="49" spans="2:20" s="61" customFormat="1" ht="18" customHeight="1">
      <c r="B49" s="99" t="str">
        <f>Orçamento!B25</f>
        <v>2.5</v>
      </c>
      <c r="C49" s="100" t="str">
        <f>Orçamento!C25</f>
        <v>Retirada de pintura</v>
      </c>
      <c r="D49" s="335" t="s">
        <v>32</v>
      </c>
      <c r="E49" s="101"/>
      <c r="F49" s="102"/>
      <c r="G49" s="102"/>
      <c r="H49" s="81"/>
      <c r="I49" s="102"/>
      <c r="J49" s="102"/>
      <c r="K49" s="102"/>
      <c r="L49" s="77"/>
      <c r="M49" s="66"/>
      <c r="N49" s="66"/>
      <c r="Q49" s="288"/>
      <c r="R49" s="288"/>
      <c r="S49" s="288"/>
      <c r="T49" s="288"/>
    </row>
    <row r="50" spans="2:20" s="61" customFormat="1" ht="18" customHeight="1">
      <c r="B50" s="114"/>
      <c r="C50" s="110"/>
      <c r="D50" s="413"/>
      <c r="E50" s="110" t="s">
        <v>297</v>
      </c>
      <c r="F50" s="81">
        <v>116.14</v>
      </c>
      <c r="G50" s="115"/>
      <c r="H50" s="81">
        <v>5</v>
      </c>
      <c r="I50" s="81">
        <f>F50*H50</f>
        <v>580.7</v>
      </c>
      <c r="J50" s="115"/>
      <c r="K50" s="115"/>
      <c r="L50" s="82">
        <f>I50+12.07*0.91</f>
        <v>591.6837</v>
      </c>
      <c r="M50" s="66"/>
      <c r="N50" s="66"/>
      <c r="Q50" s="288"/>
      <c r="R50" s="288"/>
      <c r="S50" s="288"/>
      <c r="T50" s="288"/>
    </row>
    <row r="51" spans="2:20" s="61" customFormat="1" ht="18" customHeight="1">
      <c r="B51" s="114"/>
      <c r="C51" s="110"/>
      <c r="D51" s="413"/>
      <c r="E51" s="110" t="s">
        <v>283</v>
      </c>
      <c r="F51" s="81">
        <v>18.4</v>
      </c>
      <c r="G51" s="115"/>
      <c r="H51" s="81">
        <v>2.8</v>
      </c>
      <c r="I51" s="81">
        <f aca="true" t="shared" si="1" ref="I51:I57">F51*H51</f>
        <v>51.519999999999996</v>
      </c>
      <c r="J51" s="115"/>
      <c r="K51" s="115"/>
      <c r="L51" s="82">
        <f aca="true" t="shared" si="2" ref="L51:L56">I51</f>
        <v>51.519999999999996</v>
      </c>
      <c r="M51" s="66"/>
      <c r="N51" s="66"/>
      <c r="Q51" s="288"/>
      <c r="R51" s="288"/>
      <c r="S51" s="288"/>
      <c r="T51" s="288"/>
    </row>
    <row r="52" spans="2:20" s="61" customFormat="1" ht="18" customHeight="1">
      <c r="B52" s="114"/>
      <c r="C52" s="110"/>
      <c r="D52" s="413"/>
      <c r="E52" s="110" t="s">
        <v>284</v>
      </c>
      <c r="F52" s="81">
        <v>8.24</v>
      </c>
      <c r="G52" s="115"/>
      <c r="H52" s="81">
        <f>H51-1.6</f>
        <v>1.1999999999999997</v>
      </c>
      <c r="I52" s="81">
        <f t="shared" si="1"/>
        <v>9.887999999999998</v>
      </c>
      <c r="J52" s="115"/>
      <c r="K52" s="115"/>
      <c r="L52" s="82">
        <f t="shared" si="2"/>
        <v>9.887999999999998</v>
      </c>
      <c r="M52" s="66"/>
      <c r="N52" s="66"/>
      <c r="Q52" s="288"/>
      <c r="R52" s="288"/>
      <c r="S52" s="288"/>
      <c r="T52" s="288"/>
    </row>
    <row r="53" spans="2:20" s="61" customFormat="1" ht="18" customHeight="1">
      <c r="B53" s="114"/>
      <c r="C53" s="110"/>
      <c r="D53" s="413"/>
      <c r="E53" s="110" t="s">
        <v>285</v>
      </c>
      <c r="F53" s="81">
        <v>15.4</v>
      </c>
      <c r="G53" s="115"/>
      <c r="H53" s="81">
        <v>2.8</v>
      </c>
      <c r="I53" s="81">
        <f t="shared" si="1"/>
        <v>43.12</v>
      </c>
      <c r="J53" s="115"/>
      <c r="K53" s="115"/>
      <c r="L53" s="82">
        <f t="shared" si="2"/>
        <v>43.12</v>
      </c>
      <c r="M53" s="66"/>
      <c r="N53" s="66"/>
      <c r="Q53" s="288"/>
      <c r="R53" s="288"/>
      <c r="S53" s="288"/>
      <c r="T53" s="288"/>
    </row>
    <row r="54" spans="2:20" s="61" customFormat="1" ht="18" customHeight="1">
      <c r="B54" s="114"/>
      <c r="C54" s="110"/>
      <c r="D54" s="413"/>
      <c r="E54" s="110" t="s">
        <v>286</v>
      </c>
      <c r="F54" s="81">
        <v>15.6</v>
      </c>
      <c r="G54" s="115"/>
      <c r="H54" s="81">
        <v>2.8</v>
      </c>
      <c r="I54" s="81">
        <f t="shared" si="1"/>
        <v>43.68</v>
      </c>
      <c r="J54" s="115"/>
      <c r="K54" s="115"/>
      <c r="L54" s="82">
        <f t="shared" si="2"/>
        <v>43.68</v>
      </c>
      <c r="M54" s="66"/>
      <c r="N54" s="66"/>
      <c r="Q54" s="288"/>
      <c r="R54" s="288"/>
      <c r="S54" s="288"/>
      <c r="T54" s="288"/>
    </row>
    <row r="55" spans="2:20" s="61" customFormat="1" ht="18" customHeight="1">
      <c r="B55" s="114"/>
      <c r="C55" s="110"/>
      <c r="D55" s="413"/>
      <c r="E55" s="110" t="s">
        <v>287</v>
      </c>
      <c r="F55" s="81">
        <v>7.9</v>
      </c>
      <c r="G55" s="115"/>
      <c r="H55" s="81">
        <v>1.2</v>
      </c>
      <c r="I55" s="81">
        <f t="shared" si="1"/>
        <v>9.48</v>
      </c>
      <c r="J55" s="115"/>
      <c r="K55" s="115"/>
      <c r="L55" s="82">
        <f t="shared" si="2"/>
        <v>9.48</v>
      </c>
      <c r="M55" s="66"/>
      <c r="N55" s="66"/>
      <c r="Q55" s="288"/>
      <c r="R55" s="288"/>
      <c r="S55" s="288"/>
      <c r="T55" s="288"/>
    </row>
    <row r="56" spans="2:20" s="61" customFormat="1" ht="18" customHeight="1">
      <c r="B56" s="114"/>
      <c r="C56" s="110"/>
      <c r="D56" s="413"/>
      <c r="E56" s="110" t="s">
        <v>288</v>
      </c>
      <c r="F56" s="81">
        <v>7.3</v>
      </c>
      <c r="G56" s="115"/>
      <c r="H56" s="81">
        <v>2.8</v>
      </c>
      <c r="I56" s="81">
        <f t="shared" si="1"/>
        <v>20.439999999999998</v>
      </c>
      <c r="J56" s="115"/>
      <c r="K56" s="115"/>
      <c r="L56" s="82">
        <f t="shared" si="2"/>
        <v>20.439999999999998</v>
      </c>
      <c r="M56" s="66"/>
      <c r="N56" s="66"/>
      <c r="Q56" s="288"/>
      <c r="R56" s="288"/>
      <c r="S56" s="288"/>
      <c r="T56" s="288"/>
    </row>
    <row r="57" spans="2:20" s="61" customFormat="1" ht="18" customHeight="1">
      <c r="B57" s="114"/>
      <c r="C57" s="110"/>
      <c r="D57" s="413"/>
      <c r="E57" s="110" t="s">
        <v>298</v>
      </c>
      <c r="F57" s="81">
        <v>125.72</v>
      </c>
      <c r="G57" s="115"/>
      <c r="H57" s="81">
        <v>4.5</v>
      </c>
      <c r="I57" s="81">
        <f t="shared" si="1"/>
        <v>565.74</v>
      </c>
      <c r="J57" s="115"/>
      <c r="K57" s="115"/>
      <c r="L57" s="82">
        <f>I57+12.07*0.91</f>
        <v>576.7237</v>
      </c>
      <c r="M57" s="66"/>
      <c r="N57" s="66"/>
      <c r="Q57" s="288"/>
      <c r="R57" s="288"/>
      <c r="S57" s="288"/>
      <c r="T57" s="288"/>
    </row>
    <row r="58" spans="2:20" s="61" customFormat="1" ht="18" customHeight="1">
      <c r="B58" s="117"/>
      <c r="C58" s="161"/>
      <c r="D58" s="161"/>
      <c r="E58" s="161"/>
      <c r="F58" s="115"/>
      <c r="G58" s="115"/>
      <c r="H58" s="115"/>
      <c r="I58" s="81"/>
      <c r="J58" s="115"/>
      <c r="K58" s="115"/>
      <c r="L58" s="90">
        <f>SUM(L50:L57)</f>
        <v>1346.5354</v>
      </c>
      <c r="M58" s="66"/>
      <c r="N58" s="66"/>
      <c r="Q58" s="288"/>
      <c r="R58" s="115">
        <f>96.01+6.45</f>
        <v>102.46000000000001</v>
      </c>
      <c r="S58" s="288"/>
      <c r="T58" s="288"/>
    </row>
    <row r="59" spans="2:20" s="61" customFormat="1" ht="18" customHeight="1">
      <c r="B59" s="99" t="str">
        <f>Orçamento!B26</f>
        <v>2.6</v>
      </c>
      <c r="C59" s="100" t="str">
        <f>Orçamento!C26</f>
        <v>Retirada de esquadria metálica</v>
      </c>
      <c r="D59" s="335" t="s">
        <v>32</v>
      </c>
      <c r="E59" s="101"/>
      <c r="F59" s="102"/>
      <c r="G59" s="102"/>
      <c r="H59" s="102"/>
      <c r="I59" s="76"/>
      <c r="J59" s="102"/>
      <c r="K59" s="102"/>
      <c r="L59" s="77"/>
      <c r="M59" s="66"/>
      <c r="N59" s="66"/>
      <c r="Q59" s="288"/>
      <c r="R59" s="115"/>
      <c r="S59" s="288"/>
      <c r="T59" s="288"/>
    </row>
    <row r="60" spans="2:20" s="61" customFormat="1" ht="18" customHeight="1">
      <c r="B60" s="117"/>
      <c r="C60" s="161"/>
      <c r="D60" s="161"/>
      <c r="E60" s="110" t="s">
        <v>311</v>
      </c>
      <c r="F60" s="115"/>
      <c r="G60" s="81">
        <v>1</v>
      </c>
      <c r="H60" s="81">
        <v>0.6</v>
      </c>
      <c r="I60" s="81">
        <f>G60*H60</f>
        <v>0.6</v>
      </c>
      <c r="J60" s="115"/>
      <c r="K60" s="115"/>
      <c r="L60" s="82">
        <f>I60</f>
        <v>0.6</v>
      </c>
      <c r="M60" s="66"/>
      <c r="N60" s="66"/>
      <c r="Q60" s="288"/>
      <c r="R60" s="115"/>
      <c r="S60" s="288"/>
      <c r="T60" s="288"/>
    </row>
    <row r="61" spans="2:20" s="61" customFormat="1" ht="18" customHeight="1">
      <c r="B61" s="117"/>
      <c r="C61" s="161"/>
      <c r="D61" s="161"/>
      <c r="E61" s="110" t="s">
        <v>312</v>
      </c>
      <c r="F61" s="115"/>
      <c r="G61" s="81">
        <v>1</v>
      </c>
      <c r="H61" s="81">
        <v>1</v>
      </c>
      <c r="I61" s="81">
        <f>G61*H61</f>
        <v>1</v>
      </c>
      <c r="J61" s="115"/>
      <c r="K61" s="115"/>
      <c r="L61" s="82">
        <f>I61</f>
        <v>1</v>
      </c>
      <c r="M61" s="66"/>
      <c r="N61" s="66"/>
      <c r="Q61" s="288"/>
      <c r="R61" s="115"/>
      <c r="S61" s="288"/>
      <c r="T61" s="288"/>
    </row>
    <row r="62" spans="2:20" s="61" customFormat="1" ht="18" customHeight="1">
      <c r="B62" s="117"/>
      <c r="C62" s="161"/>
      <c r="D62" s="161"/>
      <c r="E62" s="110" t="s">
        <v>313</v>
      </c>
      <c r="F62" s="115"/>
      <c r="G62" s="81">
        <v>0.7</v>
      </c>
      <c r="H62" s="81">
        <v>2.1</v>
      </c>
      <c r="I62" s="81">
        <f>G62*H62</f>
        <v>1.47</v>
      </c>
      <c r="J62" s="115"/>
      <c r="K62" s="115"/>
      <c r="L62" s="82">
        <f>I62</f>
        <v>1.47</v>
      </c>
      <c r="M62" s="66"/>
      <c r="N62" s="66"/>
      <c r="Q62" s="288"/>
      <c r="R62" s="115"/>
      <c r="S62" s="288"/>
      <c r="T62" s="288"/>
    </row>
    <row r="63" spans="2:20" s="61" customFormat="1" ht="18" customHeight="1">
      <c r="B63" s="125"/>
      <c r="C63" s="109"/>
      <c r="D63" s="109"/>
      <c r="E63" s="109"/>
      <c r="F63" s="105"/>
      <c r="G63" s="105"/>
      <c r="H63" s="105"/>
      <c r="I63" s="86"/>
      <c r="J63" s="105"/>
      <c r="K63" s="105"/>
      <c r="L63" s="88">
        <f>SUM(L60:L62)</f>
        <v>3.0700000000000003</v>
      </c>
      <c r="M63" s="66"/>
      <c r="N63" s="66"/>
      <c r="Q63" s="288"/>
      <c r="R63" s="115"/>
      <c r="S63" s="288"/>
      <c r="T63" s="288"/>
    </row>
    <row r="64" spans="2:20" s="61" customFormat="1" ht="18" customHeight="1">
      <c r="B64" s="99" t="str">
        <f>Orçamento!B27</f>
        <v>2.7</v>
      </c>
      <c r="C64" s="100" t="str">
        <f>Orçamento!C27</f>
        <v>Retirada de telha amianto</v>
      </c>
      <c r="D64" s="335" t="s">
        <v>32</v>
      </c>
      <c r="E64" s="101"/>
      <c r="F64" s="102"/>
      <c r="G64" s="102"/>
      <c r="H64" s="102"/>
      <c r="I64" s="76"/>
      <c r="J64" s="102"/>
      <c r="K64" s="102"/>
      <c r="L64" s="77"/>
      <c r="M64" s="66"/>
      <c r="N64" s="66"/>
      <c r="Q64" s="288"/>
      <c r="R64" s="115"/>
      <c r="S64" s="288"/>
      <c r="T64" s="288"/>
    </row>
    <row r="65" spans="2:20" s="61" customFormat="1" ht="18" customHeight="1">
      <c r="B65" s="117"/>
      <c r="C65" s="161"/>
      <c r="D65" s="161"/>
      <c r="E65" s="110" t="s">
        <v>296</v>
      </c>
      <c r="F65" s="115"/>
      <c r="G65" s="115"/>
      <c r="H65" s="115"/>
      <c r="I65" s="81">
        <f>6.23*1.011</f>
        <v>6.2985299999999995</v>
      </c>
      <c r="J65" s="115"/>
      <c r="K65" s="115"/>
      <c r="L65" s="82">
        <f>I65</f>
        <v>6.2985299999999995</v>
      </c>
      <c r="M65" s="66"/>
      <c r="N65" s="66"/>
      <c r="Q65" s="288"/>
      <c r="R65" s="115"/>
      <c r="S65" s="288"/>
      <c r="T65" s="288"/>
    </row>
    <row r="66" spans="2:20" s="61" customFormat="1" ht="18" customHeight="1">
      <c r="B66" s="125"/>
      <c r="C66" s="109"/>
      <c r="D66" s="109"/>
      <c r="E66" s="109"/>
      <c r="F66" s="105"/>
      <c r="G66" s="105"/>
      <c r="H66" s="105"/>
      <c r="I66" s="86"/>
      <c r="J66" s="105"/>
      <c r="K66" s="105"/>
      <c r="L66" s="88">
        <f>L65</f>
        <v>6.2985299999999995</v>
      </c>
      <c r="M66" s="66"/>
      <c r="N66" s="66"/>
      <c r="Q66" s="288"/>
      <c r="R66" s="115"/>
      <c r="S66" s="288"/>
      <c r="T66" s="288"/>
    </row>
    <row r="67" spans="2:20" s="61" customFormat="1" ht="18" customHeight="1">
      <c r="B67" s="99" t="str">
        <f>Orçamento!B28</f>
        <v>2.8</v>
      </c>
      <c r="C67" s="100" t="str">
        <f>Orçamento!C28</f>
        <v>Retirada madeiramento</v>
      </c>
      <c r="D67" s="335" t="s">
        <v>32</v>
      </c>
      <c r="E67" s="101"/>
      <c r="F67" s="102"/>
      <c r="G67" s="102"/>
      <c r="H67" s="102"/>
      <c r="I67" s="76"/>
      <c r="J67" s="102"/>
      <c r="K67" s="102"/>
      <c r="L67" s="77"/>
      <c r="M67" s="66"/>
      <c r="N67" s="66"/>
      <c r="Q67" s="288"/>
      <c r="R67" s="115"/>
      <c r="S67" s="288"/>
      <c r="T67" s="288"/>
    </row>
    <row r="68" spans="2:20" s="61" customFormat="1" ht="18" customHeight="1">
      <c r="B68" s="117"/>
      <c r="C68" s="161"/>
      <c r="D68" s="161"/>
      <c r="E68" s="110" t="s">
        <v>296</v>
      </c>
      <c r="F68" s="115"/>
      <c r="G68" s="115"/>
      <c r="H68" s="115"/>
      <c r="I68" s="81">
        <f>6.23*1.011</f>
        <v>6.2985299999999995</v>
      </c>
      <c r="J68" s="115"/>
      <c r="K68" s="115"/>
      <c r="L68" s="81">
        <f>I68</f>
        <v>6.2985299999999995</v>
      </c>
      <c r="M68" s="66"/>
      <c r="N68" s="66"/>
      <c r="Q68" s="288"/>
      <c r="R68" s="115"/>
      <c r="S68" s="288"/>
      <c r="T68" s="288"/>
    </row>
    <row r="69" spans="2:20" s="61" customFormat="1" ht="18" customHeight="1">
      <c r="B69" s="117"/>
      <c r="C69" s="161"/>
      <c r="D69" s="161"/>
      <c r="E69" s="161"/>
      <c r="F69" s="115"/>
      <c r="G69" s="115"/>
      <c r="H69" s="115"/>
      <c r="I69" s="81"/>
      <c r="J69" s="115"/>
      <c r="K69" s="115"/>
      <c r="L69" s="88">
        <f>L68</f>
        <v>6.2985299999999995</v>
      </c>
      <c r="M69" s="66"/>
      <c r="N69" s="66"/>
      <c r="Q69" s="288"/>
      <c r="R69" s="115"/>
      <c r="S69" s="288"/>
      <c r="T69" s="288"/>
    </row>
    <row r="70" spans="2:20" s="61" customFormat="1" ht="18" customHeight="1">
      <c r="B70" s="99" t="str">
        <f>Orçamento!B29</f>
        <v>2.9</v>
      </c>
      <c r="C70" s="100" t="str">
        <f>Orçamento!C29</f>
        <v>Retiradas de louça sanitária</v>
      </c>
      <c r="D70" s="335" t="s">
        <v>262</v>
      </c>
      <c r="E70" s="101"/>
      <c r="F70" s="102"/>
      <c r="G70" s="102"/>
      <c r="H70" s="102"/>
      <c r="I70" s="76"/>
      <c r="J70" s="102"/>
      <c r="K70" s="102"/>
      <c r="L70" s="77"/>
      <c r="M70" s="66"/>
      <c r="N70" s="66"/>
      <c r="Q70" s="288"/>
      <c r="R70" s="115"/>
      <c r="S70" s="288"/>
      <c r="T70" s="288"/>
    </row>
    <row r="71" spans="2:20" s="61" customFormat="1" ht="18" customHeight="1">
      <c r="B71" s="117"/>
      <c r="C71" s="161"/>
      <c r="D71" s="161"/>
      <c r="E71" s="110" t="s">
        <v>309</v>
      </c>
      <c r="F71" s="115"/>
      <c r="G71" s="115"/>
      <c r="H71" s="115"/>
      <c r="I71" s="81"/>
      <c r="J71" s="115"/>
      <c r="K71" s="81">
        <v>6</v>
      </c>
      <c r="L71" s="82">
        <f>K71</f>
        <v>6</v>
      </c>
      <c r="M71" s="66"/>
      <c r="N71" s="66"/>
      <c r="Q71" s="288"/>
      <c r="R71" s="115"/>
      <c r="S71" s="288"/>
      <c r="T71" s="288"/>
    </row>
    <row r="72" spans="2:20" s="61" customFormat="1" ht="18" customHeight="1">
      <c r="B72" s="125"/>
      <c r="C72" s="109"/>
      <c r="D72" s="109"/>
      <c r="E72" s="109"/>
      <c r="F72" s="105"/>
      <c r="G72" s="105"/>
      <c r="H72" s="105"/>
      <c r="I72" s="86"/>
      <c r="J72" s="105"/>
      <c r="K72" s="105"/>
      <c r="L72" s="88">
        <f>L71</f>
        <v>6</v>
      </c>
      <c r="M72" s="66"/>
      <c r="N72" s="66"/>
      <c r="Q72" s="288"/>
      <c r="R72" s="115"/>
      <c r="S72" s="288"/>
      <c r="T72" s="288"/>
    </row>
    <row r="73" spans="2:20" s="61" customFormat="1" ht="18" customHeight="1">
      <c r="B73" s="335" t="str">
        <f>Orçamento!B30</f>
        <v>2.10</v>
      </c>
      <c r="C73" s="100" t="str">
        <f>Orçamento!C30</f>
        <v>Retirada de fiação elétrica</v>
      </c>
      <c r="D73" s="335" t="s">
        <v>27</v>
      </c>
      <c r="E73" s="101"/>
      <c r="F73" s="102"/>
      <c r="G73" s="102"/>
      <c r="H73" s="102"/>
      <c r="I73" s="76"/>
      <c r="J73" s="102"/>
      <c r="K73" s="102"/>
      <c r="L73" s="77"/>
      <c r="M73" s="66"/>
      <c r="N73" s="66"/>
      <c r="Q73" s="288"/>
      <c r="R73" s="115"/>
      <c r="S73" s="288"/>
      <c r="T73" s="288"/>
    </row>
    <row r="74" spans="2:20" s="61" customFormat="1" ht="18" customHeight="1">
      <c r="B74" s="117"/>
      <c r="C74" s="161"/>
      <c r="D74" s="161"/>
      <c r="E74" s="413"/>
      <c r="F74" s="81">
        <f>(50.77+46)*2</f>
        <v>193.54000000000002</v>
      </c>
      <c r="G74" s="115"/>
      <c r="H74" s="115"/>
      <c r="I74" s="81"/>
      <c r="J74" s="115"/>
      <c r="K74" s="115"/>
      <c r="L74" s="82">
        <f>F74</f>
        <v>193.54000000000002</v>
      </c>
      <c r="M74" s="66"/>
      <c r="N74" s="66"/>
      <c r="Q74" s="288"/>
      <c r="R74" s="115"/>
      <c r="S74" s="288"/>
      <c r="T74" s="288"/>
    </row>
    <row r="75" spans="2:20" s="61" customFormat="1" ht="18" customHeight="1">
      <c r="B75" s="125"/>
      <c r="C75" s="109"/>
      <c r="D75" s="109"/>
      <c r="E75" s="109"/>
      <c r="F75" s="105"/>
      <c r="G75" s="105"/>
      <c r="H75" s="105"/>
      <c r="I75" s="86"/>
      <c r="J75" s="105"/>
      <c r="K75" s="105"/>
      <c r="L75" s="88">
        <f>SUM(L74)</f>
        <v>193.54000000000002</v>
      </c>
      <c r="M75" s="66"/>
      <c r="N75" s="66"/>
      <c r="Q75" s="288"/>
      <c r="R75" s="115"/>
      <c r="S75" s="288"/>
      <c r="T75" s="288"/>
    </row>
    <row r="76" spans="2:20" s="61" customFormat="1" ht="18" customHeight="1">
      <c r="B76" s="99" t="str">
        <f>Orçamento!B31</f>
        <v>2.11</v>
      </c>
      <c r="C76" s="100" t="str">
        <f>Orçamento!C31</f>
        <v>Retirada de luminária</v>
      </c>
      <c r="D76" s="335" t="s">
        <v>262</v>
      </c>
      <c r="E76" s="101"/>
      <c r="F76" s="102"/>
      <c r="G76" s="102"/>
      <c r="H76" s="102"/>
      <c r="I76" s="76"/>
      <c r="J76" s="102"/>
      <c r="K76" s="102"/>
      <c r="L76" s="77"/>
      <c r="M76" s="66"/>
      <c r="N76" s="66"/>
      <c r="Q76" s="288"/>
      <c r="R76" s="115"/>
      <c r="S76" s="288"/>
      <c r="T76" s="288"/>
    </row>
    <row r="77" spans="2:20" s="61" customFormat="1" ht="18" customHeight="1">
      <c r="B77" s="117"/>
      <c r="C77" s="161"/>
      <c r="D77" s="161"/>
      <c r="E77" s="161"/>
      <c r="F77" s="115"/>
      <c r="G77" s="115"/>
      <c r="H77" s="115"/>
      <c r="I77" s="81"/>
      <c r="J77" s="115"/>
      <c r="K77" s="81">
        <v>25</v>
      </c>
      <c r="L77" s="82">
        <f>K77</f>
        <v>25</v>
      </c>
      <c r="M77" s="66"/>
      <c r="N77" s="66"/>
      <c r="Q77" s="288"/>
      <c r="R77" s="115"/>
      <c r="S77" s="288"/>
      <c r="T77" s="288"/>
    </row>
    <row r="78" spans="2:20" s="61" customFormat="1" ht="18" customHeight="1">
      <c r="B78" s="125"/>
      <c r="C78" s="109"/>
      <c r="D78" s="109"/>
      <c r="E78" s="109"/>
      <c r="F78" s="105"/>
      <c r="G78" s="105"/>
      <c r="H78" s="105"/>
      <c r="I78" s="86"/>
      <c r="J78" s="105"/>
      <c r="K78" s="105"/>
      <c r="L78" s="88">
        <f>SUM(L77)</f>
        <v>25</v>
      </c>
      <c r="M78" s="66"/>
      <c r="N78" s="66"/>
      <c r="Q78" s="288"/>
      <c r="R78" s="115"/>
      <c r="S78" s="288"/>
      <c r="T78" s="288"/>
    </row>
    <row r="79" spans="2:20" s="61" customFormat="1" ht="18" customHeight="1">
      <c r="B79" s="100" t="str">
        <f>Orçamento!B32</f>
        <v>2.12</v>
      </c>
      <c r="C79" s="100" t="str">
        <f>Orçamento!C32</f>
        <v>Bota-fora</v>
      </c>
      <c r="D79" s="335" t="s">
        <v>252</v>
      </c>
      <c r="E79" s="101"/>
      <c r="F79" s="102"/>
      <c r="G79" s="102"/>
      <c r="H79" s="102"/>
      <c r="I79" s="102"/>
      <c r="J79" s="102"/>
      <c r="K79" s="102"/>
      <c r="L79" s="103"/>
      <c r="M79" s="66"/>
      <c r="N79" s="66"/>
      <c r="Q79" s="288"/>
      <c r="R79" s="115"/>
      <c r="S79" s="288"/>
      <c r="T79" s="288"/>
    </row>
    <row r="80" spans="2:20" s="61" customFormat="1" ht="18" customHeight="1">
      <c r="B80" s="110"/>
      <c r="C80" s="110"/>
      <c r="D80" s="413"/>
      <c r="E80" s="110" t="str">
        <f>C19</f>
        <v>Capina e limpeza manual de terreno</v>
      </c>
      <c r="F80" s="115"/>
      <c r="G80" s="115"/>
      <c r="H80" s="81">
        <v>0.05</v>
      </c>
      <c r="I80" s="81">
        <f>L20</f>
        <v>1596.54</v>
      </c>
      <c r="J80" s="81">
        <f aca="true" t="shared" si="3" ref="J80:J88">H80*I80</f>
        <v>79.827</v>
      </c>
      <c r="K80" s="115"/>
      <c r="L80" s="82">
        <f>J80</f>
        <v>79.827</v>
      </c>
      <c r="M80" s="66"/>
      <c r="N80" s="66"/>
      <c r="Q80" s="288"/>
      <c r="R80" s="115"/>
      <c r="S80" s="288"/>
      <c r="T80" s="288"/>
    </row>
    <row r="81" spans="2:20" s="61" customFormat="1" ht="18" customHeight="1">
      <c r="B81" s="117"/>
      <c r="C81" s="110"/>
      <c r="D81" s="413"/>
      <c r="E81" s="110" t="str">
        <f>C22</f>
        <v>Demolição de reboco</v>
      </c>
      <c r="F81" s="115"/>
      <c r="G81" s="115"/>
      <c r="H81" s="81">
        <v>0.0285</v>
      </c>
      <c r="I81" s="81">
        <f>L28</f>
        <v>106.38</v>
      </c>
      <c r="J81" s="81">
        <f t="shared" si="3"/>
        <v>3.03183</v>
      </c>
      <c r="K81" s="115"/>
      <c r="L81" s="82">
        <f>J81</f>
        <v>3.03183</v>
      </c>
      <c r="M81" s="66"/>
      <c r="N81" s="66"/>
      <c r="Q81" s="288"/>
      <c r="R81" s="115"/>
      <c r="S81" s="288"/>
      <c r="T81" s="288"/>
    </row>
    <row r="82" spans="2:20" s="61" customFormat="1" ht="18" customHeight="1">
      <c r="B82" s="117"/>
      <c r="C82" s="110"/>
      <c r="D82" s="413"/>
      <c r="E82" s="110" t="str">
        <f>C29</f>
        <v>Demolição de forro de gesso</v>
      </c>
      <c r="F82" s="115"/>
      <c r="G82" s="115"/>
      <c r="H82" s="81">
        <v>0.03</v>
      </c>
      <c r="I82" s="81">
        <f>L38</f>
        <v>68.10000000000001</v>
      </c>
      <c r="J82" s="81">
        <f t="shared" si="3"/>
        <v>2.043</v>
      </c>
      <c r="K82" s="81"/>
      <c r="L82" s="82">
        <f aca="true" t="shared" si="4" ref="L82:L88">J82</f>
        <v>2.043</v>
      </c>
      <c r="M82" s="66"/>
      <c r="N82" s="66"/>
      <c r="Q82" s="288"/>
      <c r="R82" s="115"/>
      <c r="S82" s="288"/>
      <c r="T82" s="288"/>
    </row>
    <row r="83" spans="2:20" s="61" customFormat="1" ht="18" customHeight="1">
      <c r="B83" s="117"/>
      <c r="C83" s="110"/>
      <c r="D83" s="413"/>
      <c r="E83" s="110" t="str">
        <f>C39</f>
        <v>Demolição de piso cerâmico</v>
      </c>
      <c r="F83" s="115"/>
      <c r="G83" s="115"/>
      <c r="H83" s="81">
        <v>0.03</v>
      </c>
      <c r="I83" s="81">
        <f>L38</f>
        <v>68.10000000000001</v>
      </c>
      <c r="J83" s="81">
        <f t="shared" si="3"/>
        <v>2.043</v>
      </c>
      <c r="K83" s="81"/>
      <c r="L83" s="82">
        <f t="shared" si="4"/>
        <v>2.043</v>
      </c>
      <c r="M83" s="66"/>
      <c r="N83" s="66"/>
      <c r="Q83" s="288"/>
      <c r="R83" s="115"/>
      <c r="S83" s="288"/>
      <c r="T83" s="288"/>
    </row>
    <row r="84" spans="2:20" s="61" customFormat="1" ht="18" customHeight="1">
      <c r="B84" s="117"/>
      <c r="C84" s="110"/>
      <c r="D84" s="413"/>
      <c r="E84" s="110" t="str">
        <f>C44</f>
        <v>Demolição revestimento cerâmico</v>
      </c>
      <c r="F84" s="115"/>
      <c r="G84" s="115"/>
      <c r="H84" s="81">
        <v>0.03</v>
      </c>
      <c r="I84" s="81">
        <f>L48</f>
        <v>36.544000000000004</v>
      </c>
      <c r="J84" s="81">
        <f t="shared" si="3"/>
        <v>1.0963200000000002</v>
      </c>
      <c r="K84" s="81"/>
      <c r="L84" s="82">
        <f t="shared" si="4"/>
        <v>1.0963200000000002</v>
      </c>
      <c r="M84" s="66"/>
      <c r="N84" s="66"/>
      <c r="Q84" s="288"/>
      <c r="R84" s="115"/>
      <c r="S84" s="288"/>
      <c r="T84" s="288"/>
    </row>
    <row r="85" spans="2:20" s="61" customFormat="1" ht="18" customHeight="1">
      <c r="B85" s="117"/>
      <c r="C85" s="110"/>
      <c r="D85" s="413"/>
      <c r="E85" s="110" t="str">
        <f>C49</f>
        <v>Retirada de pintura</v>
      </c>
      <c r="F85" s="115"/>
      <c r="G85" s="115"/>
      <c r="H85" s="81">
        <v>0.005</v>
      </c>
      <c r="I85" s="81">
        <f>L58</f>
        <v>1346.5354</v>
      </c>
      <c r="J85" s="81">
        <f t="shared" si="3"/>
        <v>6.732677</v>
      </c>
      <c r="K85" s="81"/>
      <c r="L85" s="82">
        <f t="shared" si="4"/>
        <v>6.732677</v>
      </c>
      <c r="M85" s="66"/>
      <c r="N85" s="66"/>
      <c r="Q85" s="288"/>
      <c r="R85" s="115"/>
      <c r="S85" s="288"/>
      <c r="T85" s="288"/>
    </row>
    <row r="86" spans="2:20" s="61" customFormat="1" ht="18" customHeight="1">
      <c r="B86" s="117"/>
      <c r="C86" s="110"/>
      <c r="D86" s="413"/>
      <c r="E86" s="110" t="str">
        <f>C59</f>
        <v>Retirada de esquadria metálica</v>
      </c>
      <c r="F86" s="115"/>
      <c r="G86" s="115"/>
      <c r="H86" s="81">
        <v>0.03</v>
      </c>
      <c r="I86" s="81">
        <f>L63</f>
        <v>3.0700000000000003</v>
      </c>
      <c r="J86" s="81">
        <f t="shared" si="3"/>
        <v>0.0921</v>
      </c>
      <c r="K86" s="81"/>
      <c r="L86" s="82">
        <f t="shared" si="4"/>
        <v>0.0921</v>
      </c>
      <c r="M86" s="66"/>
      <c r="N86" s="66"/>
      <c r="Q86" s="288"/>
      <c r="R86" s="115"/>
      <c r="S86" s="288"/>
      <c r="T86" s="288"/>
    </row>
    <row r="87" spans="2:20" s="61" customFormat="1" ht="18" customHeight="1">
      <c r="B87" s="117"/>
      <c r="C87" s="110"/>
      <c r="D87" s="413"/>
      <c r="E87" s="110" t="str">
        <f>C64</f>
        <v>Retirada de telha amianto</v>
      </c>
      <c r="F87" s="115"/>
      <c r="G87" s="115"/>
      <c r="H87" s="81">
        <v>0.03</v>
      </c>
      <c r="I87" s="81">
        <f>L66</f>
        <v>6.2985299999999995</v>
      </c>
      <c r="J87" s="81">
        <f t="shared" si="3"/>
        <v>0.18895589999999998</v>
      </c>
      <c r="K87" s="81"/>
      <c r="L87" s="82">
        <f t="shared" si="4"/>
        <v>0.18895589999999998</v>
      </c>
      <c r="M87" s="66"/>
      <c r="N87" s="66"/>
      <c r="Q87" s="288"/>
      <c r="R87" s="115"/>
      <c r="S87" s="288"/>
      <c r="T87" s="288"/>
    </row>
    <row r="88" spans="2:20" s="61" customFormat="1" ht="18" customHeight="1">
      <c r="B88" s="117"/>
      <c r="C88" s="110"/>
      <c r="D88" s="413"/>
      <c r="E88" s="110" t="str">
        <f>C67</f>
        <v>Retirada madeiramento</v>
      </c>
      <c r="F88" s="115"/>
      <c r="G88" s="115"/>
      <c r="H88" s="81">
        <v>0.08</v>
      </c>
      <c r="I88" s="81">
        <f>L69</f>
        <v>6.2985299999999995</v>
      </c>
      <c r="J88" s="81">
        <f t="shared" si="3"/>
        <v>0.5038824</v>
      </c>
      <c r="K88" s="81"/>
      <c r="L88" s="82">
        <f t="shared" si="4"/>
        <v>0.5038824</v>
      </c>
      <c r="M88" s="66"/>
      <c r="N88" s="66"/>
      <c r="Q88" s="288"/>
      <c r="R88" s="115"/>
      <c r="S88" s="288"/>
      <c r="T88" s="288"/>
    </row>
    <row r="89" spans="2:20" s="61" customFormat="1" ht="18" customHeight="1">
      <c r="B89" s="125"/>
      <c r="C89" s="104"/>
      <c r="D89" s="414"/>
      <c r="E89" s="109" t="s">
        <v>261</v>
      </c>
      <c r="F89" s="105"/>
      <c r="G89" s="105"/>
      <c r="H89" s="105"/>
      <c r="I89" s="105"/>
      <c r="J89" s="105"/>
      <c r="K89" s="105"/>
      <c r="L89" s="88">
        <f>SUM(L80:L88)*1.3</f>
        <v>124.22639489000001</v>
      </c>
      <c r="M89" s="66"/>
      <c r="N89" s="66"/>
      <c r="Q89" s="288"/>
      <c r="R89" s="115"/>
      <c r="S89" s="288"/>
      <c r="T89" s="288"/>
    </row>
    <row r="90" spans="2:20" s="61" customFormat="1" ht="18" customHeight="1">
      <c r="B90" s="464" t="str">
        <f>Orçamento!B33</f>
        <v>3.00</v>
      </c>
      <c r="C90" s="416" t="str">
        <f>Orçamento!C33</f>
        <v>COBERTURA</v>
      </c>
      <c r="D90" s="416"/>
      <c r="E90" s="417"/>
      <c r="F90" s="418"/>
      <c r="G90" s="418"/>
      <c r="H90" s="418"/>
      <c r="I90" s="418"/>
      <c r="J90" s="418"/>
      <c r="K90" s="418"/>
      <c r="L90" s="419"/>
      <c r="M90" s="66"/>
      <c r="N90" s="66"/>
      <c r="Q90" s="288"/>
      <c r="R90" s="288"/>
      <c r="S90" s="288"/>
      <c r="T90" s="288"/>
    </row>
    <row r="91" spans="2:20" s="61" customFormat="1" ht="54">
      <c r="B91" s="100" t="str">
        <f>Orçamento!B34</f>
        <v>3.1</v>
      </c>
      <c r="C91" s="100" t="str">
        <f>Orçamento!C34</f>
        <v>Estrutura de madeira para telhado (guarita)</v>
      </c>
      <c r="D91" s="335" t="s">
        <v>32</v>
      </c>
      <c r="E91" s="101"/>
      <c r="F91" s="102"/>
      <c r="G91" s="102"/>
      <c r="H91" s="102"/>
      <c r="I91" s="102"/>
      <c r="J91" s="102"/>
      <c r="K91" s="102"/>
      <c r="L91" s="77"/>
      <c r="M91" s="66"/>
      <c r="N91" s="66"/>
      <c r="O91" s="110" t="s">
        <v>254</v>
      </c>
      <c r="P91" s="81">
        <v>43.54</v>
      </c>
      <c r="Q91" s="288"/>
      <c r="R91" s="288"/>
      <c r="S91" s="288"/>
      <c r="T91" s="288"/>
    </row>
    <row r="92" spans="2:20" s="61" customFormat="1" ht="18" customHeight="1">
      <c r="B92" s="117"/>
      <c r="C92" s="161"/>
      <c r="D92" s="161"/>
      <c r="E92" s="110" t="s">
        <v>296</v>
      </c>
      <c r="F92" s="81"/>
      <c r="G92" s="81"/>
      <c r="H92" s="81"/>
      <c r="I92" s="81">
        <f>4.2*1.011</f>
        <v>4.2462</v>
      </c>
      <c r="J92" s="81"/>
      <c r="K92" s="81"/>
      <c r="L92" s="82">
        <f>I92</f>
        <v>4.2462</v>
      </c>
      <c r="M92" s="66"/>
      <c r="N92" s="66"/>
      <c r="Q92" s="288"/>
      <c r="R92" s="288"/>
      <c r="S92" s="288"/>
      <c r="T92" s="288"/>
    </row>
    <row r="93" spans="2:20" s="61" customFormat="1" ht="18" customHeight="1">
      <c r="B93" s="125"/>
      <c r="C93" s="109"/>
      <c r="D93" s="109"/>
      <c r="E93" s="109"/>
      <c r="F93" s="105"/>
      <c r="G93" s="105"/>
      <c r="H93" s="105"/>
      <c r="I93" s="105"/>
      <c r="J93" s="105"/>
      <c r="K93" s="105"/>
      <c r="L93" s="88">
        <f>SUM(L92:L92)</f>
        <v>4.2462</v>
      </c>
      <c r="M93" s="66"/>
      <c r="N93" s="66"/>
      <c r="Q93" s="288"/>
      <c r="R93" s="288"/>
      <c r="S93" s="288"/>
      <c r="T93" s="288"/>
    </row>
    <row r="94" spans="2:20" s="61" customFormat="1" ht="18" customHeight="1">
      <c r="B94" s="100" t="str">
        <f>Orçamento!B35</f>
        <v>3.2</v>
      </c>
      <c r="C94" s="100" t="str">
        <f>Orçamento!C35</f>
        <v>Imunização para madeiramento do telhado</v>
      </c>
      <c r="D94" s="335" t="s">
        <v>32</v>
      </c>
      <c r="E94" s="101"/>
      <c r="F94" s="102"/>
      <c r="G94" s="102"/>
      <c r="H94" s="102"/>
      <c r="I94" s="102"/>
      <c r="J94" s="102"/>
      <c r="K94" s="102"/>
      <c r="L94" s="77"/>
      <c r="M94" s="66"/>
      <c r="N94" s="66"/>
      <c r="Q94" s="288"/>
      <c r="R94" s="288"/>
      <c r="S94" s="288"/>
      <c r="T94" s="288"/>
    </row>
    <row r="95" spans="2:20" s="61" customFormat="1" ht="18" customHeight="1">
      <c r="B95" s="161"/>
      <c r="C95" s="161"/>
      <c r="D95" s="161"/>
      <c r="E95" s="110" t="s">
        <v>296</v>
      </c>
      <c r="F95" s="81"/>
      <c r="G95" s="81"/>
      <c r="H95" s="81"/>
      <c r="I95" s="81">
        <f>4.2*1.011</f>
        <v>4.2462</v>
      </c>
      <c r="J95" s="81"/>
      <c r="K95" s="81"/>
      <c r="L95" s="82">
        <f>I95</f>
        <v>4.2462</v>
      </c>
      <c r="M95" s="66"/>
      <c r="N95" s="66"/>
      <c r="Q95" s="288"/>
      <c r="R95" s="288"/>
      <c r="S95" s="288"/>
      <c r="T95" s="288"/>
    </row>
    <row r="96" spans="2:20" s="61" customFormat="1" ht="18" customHeight="1">
      <c r="B96" s="161"/>
      <c r="C96" s="109"/>
      <c r="D96" s="109"/>
      <c r="E96" s="109"/>
      <c r="F96" s="105"/>
      <c r="G96" s="105"/>
      <c r="H96" s="105"/>
      <c r="I96" s="105"/>
      <c r="J96" s="105"/>
      <c r="K96" s="105"/>
      <c r="L96" s="88">
        <f>SUM(L95:L95)</f>
        <v>4.2462</v>
      </c>
      <c r="M96" s="66"/>
      <c r="N96" s="66"/>
      <c r="Q96" s="288"/>
      <c r="R96" s="288"/>
      <c r="S96" s="288"/>
      <c r="T96" s="288"/>
    </row>
    <row r="97" spans="2:20" s="61" customFormat="1" ht="90">
      <c r="B97" s="100" t="str">
        <f>Orçamento!B36</f>
        <v>3.3</v>
      </c>
      <c r="C97" s="100" t="str">
        <f>Orçamento!C36</f>
        <v>Telhamento com telha de alumínio dupla, trapezoidal, tipo sanduíche 0,6mm pré pintada em duas faces, com isolamento de espuma rígida de poliuretano 30mm pintada (termoacústica)</v>
      </c>
      <c r="D97" s="335" t="s">
        <v>32</v>
      </c>
      <c r="E97" s="101"/>
      <c r="F97" s="102"/>
      <c r="G97" s="102"/>
      <c r="H97" s="102"/>
      <c r="I97" s="102"/>
      <c r="J97" s="102"/>
      <c r="K97" s="102"/>
      <c r="L97" s="77"/>
      <c r="M97" s="66"/>
      <c r="N97" s="66"/>
      <c r="Q97" s="288"/>
      <c r="R97" s="288"/>
      <c r="S97" s="288"/>
      <c r="T97" s="288"/>
    </row>
    <row r="98" spans="2:20" s="61" customFormat="1" ht="18" customHeight="1">
      <c r="B98" s="117"/>
      <c r="C98" s="161"/>
      <c r="D98" s="161"/>
      <c r="E98" s="110" t="s">
        <v>296</v>
      </c>
      <c r="F98" s="81"/>
      <c r="G98" s="81"/>
      <c r="H98" s="81"/>
      <c r="I98" s="81">
        <f>4.2*1.011</f>
        <v>4.2462</v>
      </c>
      <c r="J98" s="81">
        <f>F98*G98*H98</f>
        <v>0</v>
      </c>
      <c r="K98" s="81">
        <v>4</v>
      </c>
      <c r="L98" s="82">
        <f>I98</f>
        <v>4.2462</v>
      </c>
      <c r="M98" s="66"/>
      <c r="N98" s="66"/>
      <c r="Q98" s="288"/>
      <c r="R98" s="288"/>
      <c r="S98" s="288"/>
      <c r="T98" s="288"/>
    </row>
    <row r="99" spans="2:20" s="61" customFormat="1" ht="18" customHeight="1">
      <c r="B99" s="125"/>
      <c r="C99" s="109"/>
      <c r="D99" s="109"/>
      <c r="E99" s="109"/>
      <c r="F99" s="105"/>
      <c r="G99" s="105"/>
      <c r="H99" s="105"/>
      <c r="I99" s="105"/>
      <c r="J99" s="105"/>
      <c r="K99" s="105"/>
      <c r="L99" s="88">
        <f>SUM(L98:L98)</f>
        <v>4.2462</v>
      </c>
      <c r="M99" s="66"/>
      <c r="N99" s="66"/>
      <c r="Q99" s="288"/>
      <c r="R99" s="288"/>
      <c r="S99" s="288"/>
      <c r="T99" s="288"/>
    </row>
    <row r="100" spans="2:12" ht="18">
      <c r="B100" s="415" t="str">
        <f>Orçamento!B37</f>
        <v>4.00</v>
      </c>
      <c r="C100" s="416" t="str">
        <f>Orçamento!C37</f>
        <v>PAREDES E PAINÉIS</v>
      </c>
      <c r="D100" s="416"/>
      <c r="E100" s="421"/>
      <c r="F100" s="422"/>
      <c r="G100" s="422"/>
      <c r="H100" s="422"/>
      <c r="I100" s="418"/>
      <c r="J100" s="422"/>
      <c r="K100" s="418"/>
      <c r="L100" s="423"/>
    </row>
    <row r="101" spans="2:12" ht="54">
      <c r="B101" s="431" t="str">
        <f>Orçamento!B38</f>
        <v>4.1</v>
      </c>
      <c r="C101" s="322" t="str">
        <f>Orçamento!C38</f>
        <v>alvenaria de tijolo cerâmico furado (9x19x19)cm c/argamassa mista de cal hidratada esp.=9cm (1:2:8), junta 1cm </v>
      </c>
      <c r="D101" s="80" t="s">
        <v>32</v>
      </c>
      <c r="E101" s="161"/>
      <c r="F101" s="115"/>
      <c r="G101" s="115"/>
      <c r="H101" s="115"/>
      <c r="I101" s="115"/>
      <c r="J101" s="115"/>
      <c r="K101" s="115"/>
      <c r="L101" s="229"/>
    </row>
    <row r="102" spans="2:12" ht="18">
      <c r="B102" s="431"/>
      <c r="C102" s="322"/>
      <c r="D102" s="80"/>
      <c r="E102" s="118" t="s">
        <v>314</v>
      </c>
      <c r="F102" s="115"/>
      <c r="G102" s="81">
        <v>1</v>
      </c>
      <c r="H102" s="81">
        <v>0.6</v>
      </c>
      <c r="I102" s="81">
        <f>G102*H102</f>
        <v>0.6</v>
      </c>
      <c r="J102" s="115"/>
      <c r="K102" s="115"/>
      <c r="L102" s="82">
        <f>I102</f>
        <v>0.6</v>
      </c>
    </row>
    <row r="103" spans="2:12" ht="18">
      <c r="B103" s="302"/>
      <c r="C103" s="79"/>
      <c r="D103" s="116"/>
      <c r="E103" s="118" t="s">
        <v>296</v>
      </c>
      <c r="F103" s="81">
        <v>8.8</v>
      </c>
      <c r="G103" s="81"/>
      <c r="H103" s="81">
        <v>0.4</v>
      </c>
      <c r="I103" s="81">
        <f>F103*H103</f>
        <v>3.5200000000000005</v>
      </c>
      <c r="J103" s="115"/>
      <c r="K103" s="115"/>
      <c r="L103" s="82">
        <f>I103</f>
        <v>3.5200000000000005</v>
      </c>
    </row>
    <row r="104" spans="2:12" ht="18">
      <c r="B104" s="125"/>
      <c r="C104" s="107"/>
      <c r="D104" s="107"/>
      <c r="E104" s="109"/>
      <c r="F104" s="105"/>
      <c r="G104" s="105"/>
      <c r="H104" s="105"/>
      <c r="I104" s="105"/>
      <c r="J104" s="105"/>
      <c r="K104" s="105"/>
      <c r="L104" s="88">
        <f>SUM(L102:L103)</f>
        <v>4.12</v>
      </c>
    </row>
    <row r="105" spans="2:12" ht="18">
      <c r="B105" s="415" t="str">
        <f>Orçamento!B39</f>
        <v>5.00</v>
      </c>
      <c r="C105" s="416" t="str">
        <f>Orçamento!C39</f>
        <v>ESQUADRIAS METÁLICAS</v>
      </c>
      <c r="D105" s="416"/>
      <c r="E105" s="417"/>
      <c r="F105" s="418"/>
      <c r="G105" s="418"/>
      <c r="H105" s="418"/>
      <c r="I105" s="418"/>
      <c r="J105" s="418"/>
      <c r="K105" s="418"/>
      <c r="L105" s="419"/>
    </row>
    <row r="106" spans="2:12" ht="36">
      <c r="B106" s="474" t="str">
        <f>Orçamento!B40</f>
        <v>5.1</v>
      </c>
      <c r="C106" s="100" t="str">
        <f>Orçamento!C40</f>
        <v>Caixilho fixo, em alumínio cor branco, p/ visor</v>
      </c>
      <c r="D106" s="75" t="s">
        <v>32</v>
      </c>
      <c r="E106" s="101"/>
      <c r="F106" s="102"/>
      <c r="G106" s="124"/>
      <c r="H106" s="124"/>
      <c r="I106" s="124"/>
      <c r="J106" s="102"/>
      <c r="K106" s="124"/>
      <c r="L106" s="475"/>
    </row>
    <row r="107" spans="2:12" ht="18">
      <c r="B107" s="117"/>
      <c r="C107" s="116"/>
      <c r="D107" s="116"/>
      <c r="E107" s="110" t="s">
        <v>296</v>
      </c>
      <c r="F107" s="115"/>
      <c r="G107" s="119">
        <v>1</v>
      </c>
      <c r="H107" s="119">
        <v>1</v>
      </c>
      <c r="I107" s="119">
        <f>G107*H107</f>
        <v>1</v>
      </c>
      <c r="J107" s="115"/>
      <c r="K107" s="119"/>
      <c r="L107" s="334">
        <f>I107</f>
        <v>1</v>
      </c>
    </row>
    <row r="108" spans="2:12" ht="18">
      <c r="B108" s="125"/>
      <c r="C108" s="107"/>
      <c r="D108" s="107"/>
      <c r="E108" s="109"/>
      <c r="F108" s="105"/>
      <c r="G108" s="105"/>
      <c r="H108" s="105"/>
      <c r="I108" s="105"/>
      <c r="J108" s="105"/>
      <c r="K108" s="105"/>
      <c r="L108" s="233">
        <f>SUM(L107:L107)</f>
        <v>1</v>
      </c>
    </row>
    <row r="109" spans="2:12" ht="18">
      <c r="B109" s="431" t="str">
        <f>Orçamento!B41</f>
        <v>5.2</v>
      </c>
      <c r="C109" s="110" t="str">
        <f>Orçamento!C41</f>
        <v>Porta em alumínio, cor branco</v>
      </c>
      <c r="D109" s="83" t="s">
        <v>32</v>
      </c>
      <c r="E109" s="93"/>
      <c r="F109" s="93"/>
      <c r="G109" s="93"/>
      <c r="H109" s="93"/>
      <c r="I109" s="93"/>
      <c r="J109" s="93"/>
      <c r="K109" s="93"/>
      <c r="L109" s="112"/>
    </row>
    <row r="110" spans="2:12" ht="18">
      <c r="B110" s="78"/>
      <c r="C110" s="110"/>
      <c r="D110" s="83"/>
      <c r="E110" s="93" t="s">
        <v>296</v>
      </c>
      <c r="F110" s="93"/>
      <c r="G110" s="119">
        <v>0.7</v>
      </c>
      <c r="H110" s="119">
        <v>2.1</v>
      </c>
      <c r="I110" s="119">
        <f>G110*H110</f>
        <v>1.47</v>
      </c>
      <c r="J110" s="93"/>
      <c r="K110" s="119">
        <v>1</v>
      </c>
      <c r="L110" s="234">
        <f>I110</f>
        <v>1.47</v>
      </c>
    </row>
    <row r="111" spans="2:12" ht="18">
      <c r="B111" s="78"/>
      <c r="C111" s="110"/>
      <c r="D111" s="93"/>
      <c r="E111" s="93"/>
      <c r="F111" s="93"/>
      <c r="G111" s="81"/>
      <c r="H111" s="81"/>
      <c r="I111" s="81"/>
      <c r="J111" s="93"/>
      <c r="K111" s="93"/>
      <c r="L111" s="90">
        <f>SUM(L110:L110)</f>
        <v>1.47</v>
      </c>
    </row>
    <row r="112" spans="2:12" ht="36">
      <c r="B112" s="71" t="str">
        <f>Orçamento!B42</f>
        <v>6.00</v>
      </c>
      <c r="C112" s="70" t="str">
        <f>Orçamento!C42</f>
        <v>INSTALAÇÕES  HIDRO-SANITÁRIAS E ÁGUA PLUVIAL</v>
      </c>
      <c r="D112" s="70"/>
      <c r="E112" s="71"/>
      <c r="F112" s="72"/>
      <c r="G112" s="72"/>
      <c r="H112" s="72"/>
      <c r="I112" s="72"/>
      <c r="J112" s="72"/>
      <c r="K112" s="72"/>
      <c r="L112" s="73"/>
    </row>
    <row r="113" spans="2:12" ht="18">
      <c r="B113" s="420" t="str">
        <f>Orçamento!B43</f>
        <v>6.1</v>
      </c>
      <c r="C113" s="330" t="str">
        <f>Orçamento!C43</f>
        <v>Rede de esgoto sanitário</v>
      </c>
      <c r="D113" s="333"/>
      <c r="E113" s="333"/>
      <c r="F113" s="333"/>
      <c r="G113" s="332"/>
      <c r="H113" s="332"/>
      <c r="I113" s="332"/>
      <c r="J113" s="333"/>
      <c r="K113" s="333"/>
      <c r="L113" s="331"/>
    </row>
    <row r="114" spans="2:12" ht="54">
      <c r="B114" s="117"/>
      <c r="C114" s="110" t="str">
        <f>Orçamento!C44</f>
        <v>Caixa sifonada pvc 150x150x50mm com grelha redonda branca - fornecimentoe instalaçao</v>
      </c>
      <c r="D114" s="89"/>
      <c r="E114" s="89"/>
      <c r="F114" s="89"/>
      <c r="G114" s="108"/>
      <c r="H114" s="108"/>
      <c r="I114" s="108"/>
      <c r="J114" s="89"/>
      <c r="K114" s="89"/>
      <c r="L114" s="232"/>
    </row>
    <row r="115" spans="2:12" ht="18">
      <c r="B115" s="128"/>
      <c r="D115" s="89"/>
      <c r="E115" s="89" t="s">
        <v>309</v>
      </c>
      <c r="F115" s="470"/>
      <c r="G115" s="108"/>
      <c r="H115" s="108"/>
      <c r="I115" s="108"/>
      <c r="J115" s="89"/>
      <c r="K115" s="471">
        <v>3</v>
      </c>
      <c r="L115" s="334">
        <f>K115</f>
        <v>3</v>
      </c>
    </row>
    <row r="116" spans="2:12" ht="18">
      <c r="B116" s="126"/>
      <c r="C116" s="104"/>
      <c r="D116" s="92"/>
      <c r="E116" s="92"/>
      <c r="F116" s="92"/>
      <c r="G116" s="230"/>
      <c r="H116" s="230"/>
      <c r="I116" s="230"/>
      <c r="J116" s="92"/>
      <c r="K116" s="92"/>
      <c r="L116" s="233">
        <f>SUM(L115)</f>
        <v>3</v>
      </c>
    </row>
    <row r="117" spans="2:12" ht="18">
      <c r="B117" s="328" t="str">
        <f>Orçamento!B45</f>
        <v>6.2</v>
      </c>
      <c r="C117" s="328" t="str">
        <f>Orçamento!C45</f>
        <v>Rede de água fria</v>
      </c>
      <c r="D117" s="329"/>
      <c r="E117" s="329"/>
      <c r="F117" s="329"/>
      <c r="G117" s="468"/>
      <c r="H117" s="468"/>
      <c r="I117" s="468"/>
      <c r="J117" s="329"/>
      <c r="K117" s="329"/>
      <c r="L117" s="469"/>
    </row>
    <row r="118" spans="2:12" ht="54">
      <c r="B118" s="100" t="str">
        <f>Orçamento!B46</f>
        <v>6.2.1</v>
      </c>
      <c r="C118" s="100" t="str">
        <f>Orçamento!C46</f>
        <v>Registro pressao 3/4" com canopla acabamento cromado - fornecimento einstalaço</v>
      </c>
      <c r="D118" s="74"/>
      <c r="E118" s="74"/>
      <c r="F118" s="312"/>
      <c r="G118" s="76"/>
      <c r="H118" s="76"/>
      <c r="I118" s="76"/>
      <c r="J118" s="74"/>
      <c r="K118" s="74"/>
      <c r="L118" s="303"/>
    </row>
    <row r="119" spans="2:12" ht="18">
      <c r="B119" s="78"/>
      <c r="C119" s="110"/>
      <c r="D119" s="93"/>
      <c r="E119" s="93" t="s">
        <v>309</v>
      </c>
      <c r="F119" s="93"/>
      <c r="G119" s="81"/>
      <c r="H119" s="81"/>
      <c r="I119" s="81"/>
      <c r="J119" s="93"/>
      <c r="K119" s="471">
        <v>3</v>
      </c>
      <c r="L119" s="334">
        <f>K119</f>
        <v>3</v>
      </c>
    </row>
    <row r="120" spans="2:12" ht="18">
      <c r="B120" s="84"/>
      <c r="C120" s="104"/>
      <c r="D120" s="85"/>
      <c r="E120" s="85"/>
      <c r="F120" s="85"/>
      <c r="G120" s="86"/>
      <c r="H120" s="86"/>
      <c r="I120" s="86"/>
      <c r="J120" s="85"/>
      <c r="K120" s="85"/>
      <c r="L120" s="88">
        <f>SUM(L119)</f>
        <v>3</v>
      </c>
    </row>
    <row r="121" spans="2:12" ht="36">
      <c r="B121" s="110" t="str">
        <f>Orçamento!B47</f>
        <v>6.2.2</v>
      </c>
      <c r="C121" s="110" t="str">
        <f>Orçamento!C47</f>
        <v>Registro gaveta 3/4" bruto latao - fornecimento e instalacao</v>
      </c>
      <c r="D121" s="83" t="s">
        <v>32</v>
      </c>
      <c r="E121" s="93"/>
      <c r="F121" s="93"/>
      <c r="G121" s="81"/>
      <c r="H121" s="81"/>
      <c r="I121" s="81"/>
      <c r="J121" s="93"/>
      <c r="K121" s="93"/>
      <c r="L121" s="90"/>
    </row>
    <row r="122" spans="2:12" ht="18">
      <c r="B122" s="78"/>
      <c r="C122" s="110"/>
      <c r="D122" s="93"/>
      <c r="E122" s="93" t="s">
        <v>309</v>
      </c>
      <c r="F122" s="120"/>
      <c r="G122" s="81"/>
      <c r="H122" s="81"/>
      <c r="I122" s="81"/>
      <c r="J122" s="93"/>
      <c r="K122" s="471">
        <v>3</v>
      </c>
      <c r="L122" s="82">
        <f>K122</f>
        <v>3</v>
      </c>
    </row>
    <row r="123" spans="2:12" ht="18">
      <c r="B123" s="84"/>
      <c r="C123" s="104"/>
      <c r="D123" s="85"/>
      <c r="E123" s="85"/>
      <c r="F123" s="85"/>
      <c r="G123" s="86"/>
      <c r="H123" s="86"/>
      <c r="I123" s="86"/>
      <c r="J123" s="85"/>
      <c r="K123" s="85"/>
      <c r="L123" s="88">
        <f>SUM(L122)</f>
        <v>3</v>
      </c>
    </row>
    <row r="124" spans="2:12" ht="36">
      <c r="B124" s="235" t="str">
        <f>Orçamento!B48</f>
        <v>6.2.3</v>
      </c>
      <c r="C124" s="100" t="str">
        <f>Orçamento!C48</f>
        <v>Ponto de água fria embutido, c/material pvc rígido soldável Ø 25mm</v>
      </c>
      <c r="D124" s="75" t="s">
        <v>32</v>
      </c>
      <c r="E124" s="74"/>
      <c r="F124" s="74"/>
      <c r="G124" s="76"/>
      <c r="H124" s="76"/>
      <c r="I124" s="76"/>
      <c r="J124" s="74"/>
      <c r="K124" s="74"/>
      <c r="L124" s="77"/>
    </row>
    <row r="125" spans="2:12" ht="18">
      <c r="B125" s="78"/>
      <c r="C125" s="110"/>
      <c r="D125" s="93"/>
      <c r="E125" s="93" t="s">
        <v>309</v>
      </c>
      <c r="F125" s="120"/>
      <c r="G125" s="81"/>
      <c r="H125" s="81"/>
      <c r="I125" s="81"/>
      <c r="J125" s="93"/>
      <c r="K125" s="471">
        <v>3</v>
      </c>
      <c r="L125" s="82">
        <f>K125</f>
        <v>3</v>
      </c>
    </row>
    <row r="126" spans="2:12" ht="18">
      <c r="B126" s="84"/>
      <c r="C126" s="104"/>
      <c r="D126" s="85"/>
      <c r="E126" s="85"/>
      <c r="F126" s="85"/>
      <c r="G126" s="86"/>
      <c r="H126" s="86"/>
      <c r="I126" s="86"/>
      <c r="J126" s="85"/>
      <c r="K126" s="85"/>
      <c r="L126" s="88">
        <f>SUM(L125)</f>
        <v>3</v>
      </c>
    </row>
    <row r="127" spans="2:12" ht="18">
      <c r="B127" s="420" t="str">
        <f>Orçamento!B49</f>
        <v>6.3</v>
      </c>
      <c r="C127" s="330" t="str">
        <f>Orçamento!C49</f>
        <v>Louças e metais</v>
      </c>
      <c r="D127" s="333"/>
      <c r="E127" s="333"/>
      <c r="F127" s="333"/>
      <c r="G127" s="332"/>
      <c r="H127" s="332"/>
      <c r="I127" s="332"/>
      <c r="J127" s="333"/>
      <c r="K127" s="333"/>
      <c r="L127" s="331"/>
    </row>
    <row r="128" spans="2:12" ht="36">
      <c r="B128" s="335" t="str">
        <f>Orçamento!B50</f>
        <v>6.3.1</v>
      </c>
      <c r="C128" s="100" t="str">
        <f>Orçamento!C50</f>
        <v>Vaso sanitario com caixa de descarga acoplada - louca branca</v>
      </c>
      <c r="D128" s="75" t="s">
        <v>1</v>
      </c>
      <c r="E128" s="74"/>
      <c r="F128" s="74"/>
      <c r="G128" s="76"/>
      <c r="H128" s="76"/>
      <c r="I128" s="76"/>
      <c r="J128" s="74"/>
      <c r="K128" s="74"/>
      <c r="L128" s="77"/>
    </row>
    <row r="129" spans="2:12" ht="18">
      <c r="B129" s="78"/>
      <c r="C129" s="110"/>
      <c r="D129" s="93"/>
      <c r="E129" s="93" t="s">
        <v>309</v>
      </c>
      <c r="F129" s="120"/>
      <c r="G129" s="81"/>
      <c r="H129" s="81"/>
      <c r="I129" s="81"/>
      <c r="J129" s="93"/>
      <c r="K129" s="471">
        <v>3</v>
      </c>
      <c r="L129" s="82">
        <f>K129</f>
        <v>3</v>
      </c>
    </row>
    <row r="130" spans="2:12" ht="18">
      <c r="B130" s="84"/>
      <c r="C130" s="104"/>
      <c r="D130" s="85"/>
      <c r="E130" s="85"/>
      <c r="F130" s="85"/>
      <c r="G130" s="86"/>
      <c r="H130" s="86"/>
      <c r="I130" s="86"/>
      <c r="J130" s="85"/>
      <c r="K130" s="85"/>
      <c r="L130" s="88">
        <f>SUM(L129)</f>
        <v>3</v>
      </c>
    </row>
    <row r="131" spans="2:12" ht="90">
      <c r="B131" s="99" t="str">
        <f>Orçamento!B51</f>
        <v>6.3.2</v>
      </c>
      <c r="C131" s="100" t="str">
        <f>Orçamento!C51</f>
        <v>Lavatorio louca branca suspenso 29,5 x 39,0cm, padrao popular, com sifaoplastico tipo copo 1", valvula em plastico branco 1" e conjunto para fixacao- fornecimento e instalacao</v>
      </c>
      <c r="D131" s="75" t="s">
        <v>1</v>
      </c>
      <c r="E131" s="74"/>
      <c r="F131" s="74"/>
      <c r="G131" s="76"/>
      <c r="H131" s="76"/>
      <c r="I131" s="76"/>
      <c r="J131" s="74"/>
      <c r="K131" s="74"/>
      <c r="L131" s="77"/>
    </row>
    <row r="132" spans="2:12" ht="18">
      <c r="B132" s="78"/>
      <c r="C132" s="110"/>
      <c r="D132" s="93"/>
      <c r="E132" s="93" t="s">
        <v>309</v>
      </c>
      <c r="F132" s="120"/>
      <c r="G132" s="81"/>
      <c r="H132" s="81"/>
      <c r="I132" s="81"/>
      <c r="J132" s="93"/>
      <c r="K132" s="471">
        <v>3</v>
      </c>
      <c r="L132" s="82">
        <f>K132</f>
        <v>3</v>
      </c>
    </row>
    <row r="133" spans="2:12" ht="18">
      <c r="B133" s="84"/>
      <c r="C133" s="104"/>
      <c r="D133" s="85"/>
      <c r="E133" s="85"/>
      <c r="F133" s="85"/>
      <c r="G133" s="86"/>
      <c r="H133" s="86"/>
      <c r="I133" s="86"/>
      <c r="J133" s="85"/>
      <c r="K133" s="85"/>
      <c r="L133" s="88">
        <f>SUM(L132)</f>
        <v>3</v>
      </c>
    </row>
    <row r="134" spans="2:12" ht="18">
      <c r="B134" s="99" t="str">
        <f>Orçamento!B52</f>
        <v>6.3.3</v>
      </c>
      <c r="C134" s="100" t="str">
        <f>Orçamento!C52</f>
        <v>Chuveiro cromado c/ articulação</v>
      </c>
      <c r="D134" s="75" t="s">
        <v>1</v>
      </c>
      <c r="E134" s="74"/>
      <c r="F134" s="74"/>
      <c r="G134" s="76"/>
      <c r="H134" s="76"/>
      <c r="I134" s="76"/>
      <c r="J134" s="74"/>
      <c r="K134" s="74"/>
      <c r="L134" s="77"/>
    </row>
    <row r="135" spans="2:12" ht="18">
      <c r="B135" s="78"/>
      <c r="C135" s="110"/>
      <c r="D135" s="93"/>
      <c r="E135" s="93" t="s">
        <v>309</v>
      </c>
      <c r="F135" s="120"/>
      <c r="G135" s="81"/>
      <c r="H135" s="81"/>
      <c r="I135" s="81"/>
      <c r="J135" s="93"/>
      <c r="K135" s="471">
        <v>3</v>
      </c>
      <c r="L135" s="82">
        <f>K135</f>
        <v>3</v>
      </c>
    </row>
    <row r="136" spans="2:12" ht="18">
      <c r="B136" s="84"/>
      <c r="C136" s="104"/>
      <c r="D136" s="85"/>
      <c r="E136" s="85"/>
      <c r="F136" s="85"/>
      <c r="G136" s="86"/>
      <c r="H136" s="86"/>
      <c r="I136" s="86"/>
      <c r="J136" s="85"/>
      <c r="K136" s="85"/>
      <c r="L136" s="88">
        <f>SUM(L135)</f>
        <v>3</v>
      </c>
    </row>
    <row r="137" spans="2:12" ht="18">
      <c r="B137" s="99" t="str">
        <f>Orçamento!B53</f>
        <v>6.3.4</v>
      </c>
      <c r="C137" s="100" t="str">
        <f>Orçamento!C53</f>
        <v>Torneira cromada tubo móvel</v>
      </c>
      <c r="D137" s="75" t="s">
        <v>1</v>
      </c>
      <c r="E137" s="74"/>
      <c r="F137" s="74"/>
      <c r="G137" s="76"/>
      <c r="H137" s="76"/>
      <c r="I137" s="76"/>
      <c r="J137" s="74"/>
      <c r="K137" s="74"/>
      <c r="L137" s="77"/>
    </row>
    <row r="138" spans="2:12" ht="18">
      <c r="B138" s="78"/>
      <c r="C138" s="110"/>
      <c r="D138" s="93"/>
      <c r="E138" s="93" t="s">
        <v>309</v>
      </c>
      <c r="F138" s="120"/>
      <c r="G138" s="81"/>
      <c r="H138" s="81"/>
      <c r="I138" s="81"/>
      <c r="J138" s="93"/>
      <c r="K138" s="471">
        <v>1</v>
      </c>
      <c r="L138" s="82">
        <f>K138</f>
        <v>1</v>
      </c>
    </row>
    <row r="139" spans="2:12" ht="18">
      <c r="B139" s="84"/>
      <c r="C139" s="104"/>
      <c r="D139" s="85"/>
      <c r="E139" s="85"/>
      <c r="F139" s="85"/>
      <c r="G139" s="86"/>
      <c r="H139" s="86"/>
      <c r="I139" s="86"/>
      <c r="J139" s="85"/>
      <c r="K139" s="85"/>
      <c r="L139" s="88">
        <f>SUM(L138)</f>
        <v>1</v>
      </c>
    </row>
    <row r="140" spans="2:12" ht="18">
      <c r="B140" s="99" t="str">
        <f>Orçamento!B54</f>
        <v>6.3.5</v>
      </c>
      <c r="C140" s="100" t="str">
        <f>Orçamento!C54</f>
        <v>Saboneteira de louça branca  (7.5x15) cm</v>
      </c>
      <c r="D140" s="75" t="s">
        <v>1</v>
      </c>
      <c r="E140" s="74"/>
      <c r="F140" s="74"/>
      <c r="G140" s="76"/>
      <c r="H140" s="76"/>
      <c r="I140" s="76"/>
      <c r="J140" s="74"/>
      <c r="K140" s="74"/>
      <c r="L140" s="77"/>
    </row>
    <row r="141" spans="2:12" ht="18">
      <c r="B141" s="78"/>
      <c r="C141" s="110"/>
      <c r="D141" s="93"/>
      <c r="E141" s="93" t="s">
        <v>309</v>
      </c>
      <c r="F141" s="120"/>
      <c r="G141" s="81"/>
      <c r="H141" s="81"/>
      <c r="I141" s="81"/>
      <c r="J141" s="93"/>
      <c r="K141" s="471">
        <v>3</v>
      </c>
      <c r="L141" s="82">
        <f>K141</f>
        <v>3</v>
      </c>
    </row>
    <row r="142" spans="2:12" ht="18">
      <c r="B142" s="78"/>
      <c r="C142" s="110"/>
      <c r="D142" s="93"/>
      <c r="E142" s="93"/>
      <c r="F142" s="93"/>
      <c r="G142" s="81"/>
      <c r="H142" s="81"/>
      <c r="I142" s="81"/>
      <c r="J142" s="93"/>
      <c r="K142" s="93"/>
      <c r="L142" s="90">
        <f>SUM(L141)</f>
        <v>3</v>
      </c>
    </row>
    <row r="143" spans="2:12" ht="18">
      <c r="B143" s="99" t="str">
        <f>Orçamento!B55</f>
        <v>6.3.6</v>
      </c>
      <c r="C143" s="100" t="str">
        <f>Orçamento!C55</f>
        <v>Porta-papel de louca branca (15x15)cm</v>
      </c>
      <c r="D143" s="75" t="s">
        <v>1</v>
      </c>
      <c r="E143" s="74"/>
      <c r="F143" s="74"/>
      <c r="G143" s="76"/>
      <c r="H143" s="76"/>
      <c r="I143" s="76"/>
      <c r="J143" s="74"/>
      <c r="K143" s="74"/>
      <c r="L143" s="77"/>
    </row>
    <row r="144" spans="2:12" ht="18">
      <c r="B144" s="78"/>
      <c r="C144" s="110"/>
      <c r="D144" s="93"/>
      <c r="E144" s="93"/>
      <c r="F144" s="93"/>
      <c r="G144" s="81"/>
      <c r="H144" s="81"/>
      <c r="I144" s="81"/>
      <c r="J144" s="93"/>
      <c r="K144" s="93"/>
      <c r="L144" s="90"/>
    </row>
    <row r="145" spans="2:12" ht="18">
      <c r="B145" s="78"/>
      <c r="C145" s="110"/>
      <c r="D145" s="93"/>
      <c r="E145" s="93" t="s">
        <v>309</v>
      </c>
      <c r="F145" s="120"/>
      <c r="G145" s="81"/>
      <c r="H145" s="81"/>
      <c r="I145" s="81"/>
      <c r="J145" s="93"/>
      <c r="K145" s="471">
        <v>3</v>
      </c>
      <c r="L145" s="82">
        <f>K145</f>
        <v>3</v>
      </c>
    </row>
    <row r="146" spans="2:12" ht="18">
      <c r="B146" s="84"/>
      <c r="C146" s="104"/>
      <c r="D146" s="85"/>
      <c r="E146" s="85"/>
      <c r="F146" s="85"/>
      <c r="G146" s="86"/>
      <c r="H146" s="86"/>
      <c r="I146" s="86"/>
      <c r="J146" s="85"/>
      <c r="K146" s="85"/>
      <c r="L146" s="88">
        <f>SUM(L145)</f>
        <v>3</v>
      </c>
    </row>
    <row r="147" spans="2:12" ht="18">
      <c r="B147" s="110" t="str">
        <f>Orçamento!B56</f>
        <v>6.3.7</v>
      </c>
      <c r="C147" s="110" t="str">
        <f>Orçamento!C56</f>
        <v>Porta toalha de papel - metalico (instalado)</v>
      </c>
      <c r="D147" s="83" t="s">
        <v>1</v>
      </c>
      <c r="E147" s="93"/>
      <c r="F147" s="93"/>
      <c r="G147" s="81"/>
      <c r="H147" s="81"/>
      <c r="I147" s="81"/>
      <c r="J147" s="93"/>
      <c r="K147" s="93"/>
      <c r="L147" s="90"/>
    </row>
    <row r="148" spans="2:12" ht="18">
      <c r="B148" s="78"/>
      <c r="C148" s="110"/>
      <c r="D148" s="93"/>
      <c r="E148" s="93" t="s">
        <v>309</v>
      </c>
      <c r="F148" s="120"/>
      <c r="G148" s="81"/>
      <c r="H148" s="81"/>
      <c r="I148" s="81"/>
      <c r="J148" s="93"/>
      <c r="K148" s="471">
        <v>3</v>
      </c>
      <c r="L148" s="82">
        <f>K148</f>
        <v>3</v>
      </c>
    </row>
    <row r="149" spans="2:12" ht="18">
      <c r="B149" s="78"/>
      <c r="C149" s="110"/>
      <c r="D149" s="93"/>
      <c r="E149" s="93"/>
      <c r="F149" s="93"/>
      <c r="G149" s="81"/>
      <c r="H149" s="81"/>
      <c r="I149" s="81"/>
      <c r="J149" s="93"/>
      <c r="K149" s="93"/>
      <c r="L149" s="90">
        <f>SUM(L148)</f>
        <v>3</v>
      </c>
    </row>
    <row r="150" spans="2:12" ht="18">
      <c r="B150" s="100" t="str">
        <f>Orçamento!B57</f>
        <v>6.3.8</v>
      </c>
      <c r="C150" s="100" t="str">
        <f>Orçamento!C57</f>
        <v>Porta sabão líquido de vidro (instalado)</v>
      </c>
      <c r="D150" s="83" t="s">
        <v>1</v>
      </c>
      <c r="E150" s="93"/>
      <c r="F150" s="93"/>
      <c r="G150" s="81"/>
      <c r="H150" s="81"/>
      <c r="I150" s="81"/>
      <c r="J150" s="93"/>
      <c r="K150" s="93"/>
      <c r="L150" s="90"/>
    </row>
    <row r="151" spans="2:12" ht="18">
      <c r="B151" s="78"/>
      <c r="C151" s="110"/>
      <c r="D151" s="93"/>
      <c r="E151" s="93" t="s">
        <v>309</v>
      </c>
      <c r="F151" s="120"/>
      <c r="G151" s="81"/>
      <c r="H151" s="81"/>
      <c r="I151" s="81"/>
      <c r="J151" s="93"/>
      <c r="K151" s="471">
        <v>3</v>
      </c>
      <c r="L151" s="82">
        <f>K151</f>
        <v>3</v>
      </c>
    </row>
    <row r="152" spans="2:12" ht="18">
      <c r="B152" s="84"/>
      <c r="C152" s="104"/>
      <c r="D152" s="93"/>
      <c r="E152" s="93"/>
      <c r="F152" s="93"/>
      <c r="G152" s="81"/>
      <c r="H152" s="81"/>
      <c r="I152" s="81"/>
      <c r="J152" s="93"/>
      <c r="K152" s="93"/>
      <c r="L152" s="90">
        <f>SUM(L151)</f>
        <v>3</v>
      </c>
    </row>
    <row r="153" spans="2:12" ht="18">
      <c r="B153" s="330" t="str">
        <f>Orçamento!B58</f>
        <v>6.4</v>
      </c>
      <c r="C153" s="330" t="str">
        <f>Orçamento!C58</f>
        <v>Instalações de combate a incêndio</v>
      </c>
      <c r="D153" s="333"/>
      <c r="E153" s="333"/>
      <c r="F153" s="333"/>
      <c r="G153" s="332"/>
      <c r="H153" s="332"/>
      <c r="I153" s="332"/>
      <c r="J153" s="333"/>
      <c r="K153" s="333"/>
      <c r="L153" s="331"/>
    </row>
    <row r="154" spans="2:12" ht="36">
      <c r="B154" s="235" t="str">
        <f>Orçamento!B59</f>
        <v>6.4.1</v>
      </c>
      <c r="C154" s="100" t="str">
        <f>Orçamento!C59</f>
        <v>Extintor incendio tp po quimico 4kg fornecimento e colocacao</v>
      </c>
      <c r="D154" s="75" t="s">
        <v>1</v>
      </c>
      <c r="E154" s="74"/>
      <c r="F154" s="74"/>
      <c r="G154" s="76"/>
      <c r="H154" s="76"/>
      <c r="I154" s="76"/>
      <c r="J154" s="74"/>
      <c r="K154" s="74"/>
      <c r="L154" s="77"/>
    </row>
    <row r="155" spans="2:12" ht="18">
      <c r="B155" s="84"/>
      <c r="C155" s="104"/>
      <c r="D155" s="85"/>
      <c r="E155" s="85"/>
      <c r="F155" s="85"/>
      <c r="G155" s="86"/>
      <c r="H155" s="86"/>
      <c r="I155" s="86"/>
      <c r="J155" s="85"/>
      <c r="K155" s="123">
        <v>2</v>
      </c>
      <c r="L155" s="88">
        <f>K155</f>
        <v>2</v>
      </c>
    </row>
    <row r="156" spans="2:12" ht="54">
      <c r="B156" s="110" t="str">
        <f>Orçamento!B60</f>
        <v>6.4.2</v>
      </c>
      <c r="C156" s="110" t="str">
        <f>Orçamento!C60</f>
        <v>Extintor incendio agua-pressurizada 10l incl suporte parede carga
completa fornecimento e colocacao</v>
      </c>
      <c r="D156" s="83" t="s">
        <v>1</v>
      </c>
      <c r="E156" s="93"/>
      <c r="F156" s="93"/>
      <c r="G156" s="81"/>
      <c r="H156" s="81"/>
      <c r="I156" s="81"/>
      <c r="J156" s="93"/>
      <c r="K156" s="119"/>
      <c r="L156" s="90"/>
    </row>
    <row r="157" spans="2:12" ht="18">
      <c r="B157" s="78"/>
      <c r="C157" s="110"/>
      <c r="D157" s="93"/>
      <c r="E157" s="93"/>
      <c r="F157" s="93"/>
      <c r="G157" s="81"/>
      <c r="H157" s="81"/>
      <c r="I157" s="81"/>
      <c r="J157" s="93"/>
      <c r="K157" s="119">
        <v>2</v>
      </c>
      <c r="L157" s="90">
        <f>K157</f>
        <v>2</v>
      </c>
    </row>
    <row r="158" spans="2:12" ht="18" customHeight="1">
      <c r="B158" s="71" t="str">
        <f>Orçamento!B61</f>
        <v>7.00</v>
      </c>
      <c r="C158" s="70" t="str">
        <f>Orçamento!C61</f>
        <v>INSTALAÇÃO ELÉTRICA</v>
      </c>
      <c r="D158" s="70"/>
      <c r="E158" s="71"/>
      <c r="F158" s="72"/>
      <c r="G158" s="72"/>
      <c r="H158" s="72"/>
      <c r="I158" s="72"/>
      <c r="J158" s="72"/>
      <c r="K158" s="72"/>
      <c r="L158" s="73"/>
    </row>
    <row r="159" spans="2:12" ht="36">
      <c r="B159" s="99" t="str">
        <f>Orçamento!B62</f>
        <v>7.2</v>
      </c>
      <c r="C159" s="100" t="str">
        <f>Orçamento!C62</f>
        <v>Caixa de passagem 60x60x70 fundo brita com tampa</v>
      </c>
      <c r="D159" s="74"/>
      <c r="E159" s="74"/>
      <c r="F159" s="74"/>
      <c r="G159" s="76"/>
      <c r="H159" s="76"/>
      <c r="I159" s="76"/>
      <c r="J159" s="74"/>
      <c r="K159" s="124"/>
      <c r="L159" s="77"/>
    </row>
    <row r="160" spans="2:12" ht="18">
      <c r="B160" s="114"/>
      <c r="C160" s="110"/>
      <c r="D160" s="93"/>
      <c r="E160" s="93"/>
      <c r="F160" s="93"/>
      <c r="G160" s="81"/>
      <c r="H160" s="81"/>
      <c r="I160" s="81"/>
      <c r="J160" s="93"/>
      <c r="K160" s="119">
        <v>2</v>
      </c>
      <c r="L160" s="90">
        <f>K160</f>
        <v>2</v>
      </c>
    </row>
    <row r="161" spans="2:12" ht="54">
      <c r="B161" s="99" t="str">
        <f>Orçamento!B63</f>
        <v>7.3</v>
      </c>
      <c r="C161" s="100" t="str">
        <f>Orçamento!C63</f>
        <v>Entrada de energia elétrica com pontalete de aço galvanizado d=1 1/2", fixado no telhado</v>
      </c>
      <c r="D161" s="74"/>
      <c r="E161" s="74"/>
      <c r="F161" s="74"/>
      <c r="G161" s="76"/>
      <c r="H161" s="76"/>
      <c r="I161" s="76"/>
      <c r="J161" s="74"/>
      <c r="K161" s="124"/>
      <c r="L161" s="77"/>
    </row>
    <row r="162" spans="2:12" ht="18">
      <c r="B162" s="114"/>
      <c r="C162" s="110"/>
      <c r="D162" s="93"/>
      <c r="E162" s="93"/>
      <c r="F162" s="93"/>
      <c r="G162" s="81"/>
      <c r="H162" s="81"/>
      <c r="I162" s="81"/>
      <c r="J162" s="93"/>
      <c r="K162" s="119">
        <v>1</v>
      </c>
      <c r="L162" s="90">
        <f>K162</f>
        <v>1</v>
      </c>
    </row>
    <row r="163" spans="2:12" ht="36">
      <c r="B163" s="99" t="str">
        <f>Orçamento!B64</f>
        <v>7.4</v>
      </c>
      <c r="C163" s="100" t="str">
        <f>Orçamento!C64</f>
        <v>Quadro telebrás de embutir de 600 x 600 x 120 mm</v>
      </c>
      <c r="D163" s="74"/>
      <c r="E163" s="74"/>
      <c r="F163" s="74"/>
      <c r="G163" s="76"/>
      <c r="H163" s="76"/>
      <c r="I163" s="76"/>
      <c r="J163" s="74"/>
      <c r="K163" s="124"/>
      <c r="L163" s="77"/>
    </row>
    <row r="164" spans="2:12" ht="18">
      <c r="B164" s="114"/>
      <c r="C164" s="110"/>
      <c r="D164" s="93"/>
      <c r="E164" s="93"/>
      <c r="F164" s="93"/>
      <c r="G164" s="81"/>
      <c r="H164" s="81"/>
      <c r="I164" s="81"/>
      <c r="J164" s="93"/>
      <c r="K164" s="119">
        <v>1</v>
      </c>
      <c r="L164" s="90">
        <f>K164</f>
        <v>1</v>
      </c>
    </row>
    <row r="165" spans="2:12" ht="36">
      <c r="B165" s="99" t="str">
        <f>Orçamento!B65</f>
        <v>7.5</v>
      </c>
      <c r="C165" s="100" t="str">
        <f>Orçamento!C65</f>
        <v>Cabo de cobre de 2,5 mm², isolamento 750 v - isolação em pvc 70°C</v>
      </c>
      <c r="D165" s="74"/>
      <c r="E165" s="74"/>
      <c r="F165" s="74"/>
      <c r="G165" s="76"/>
      <c r="H165" s="76"/>
      <c r="I165" s="76"/>
      <c r="J165" s="74"/>
      <c r="K165" s="124"/>
      <c r="L165" s="77"/>
    </row>
    <row r="166" spans="2:12" ht="18">
      <c r="B166" s="114"/>
      <c r="C166" s="110"/>
      <c r="D166" s="93"/>
      <c r="E166" s="93"/>
      <c r="F166" s="119">
        <v>100</v>
      </c>
      <c r="G166" s="81"/>
      <c r="H166" s="81"/>
      <c r="I166" s="81"/>
      <c r="J166" s="93"/>
      <c r="L166" s="90">
        <f>F166</f>
        <v>100</v>
      </c>
    </row>
    <row r="167" spans="2:12" ht="36">
      <c r="B167" s="99" t="str">
        <f>Orçamento!B66</f>
        <v>7.6</v>
      </c>
      <c r="C167" s="100" t="str">
        <f>Orçamento!C66</f>
        <v>Cabo de cobre de 4,0 mm², isolamento 750 v - isolação em pvc 70°C</v>
      </c>
      <c r="D167" s="74"/>
      <c r="E167" s="74"/>
      <c r="F167" s="74"/>
      <c r="G167" s="76"/>
      <c r="H167" s="76"/>
      <c r="I167" s="76"/>
      <c r="J167" s="74"/>
      <c r="K167" s="124"/>
      <c r="L167" s="77"/>
    </row>
    <row r="168" spans="2:12" ht="18">
      <c r="B168" s="114"/>
      <c r="C168" s="110"/>
      <c r="D168" s="93"/>
      <c r="E168" s="93"/>
      <c r="F168" s="119">
        <v>100</v>
      </c>
      <c r="G168" s="81"/>
      <c r="H168" s="81"/>
      <c r="I168" s="81"/>
      <c r="J168" s="93"/>
      <c r="L168" s="90">
        <f>F168</f>
        <v>100</v>
      </c>
    </row>
    <row r="169" spans="2:12" ht="36">
      <c r="B169" s="99" t="str">
        <f>Orçamento!B67</f>
        <v>7.7</v>
      </c>
      <c r="C169" s="100" t="str">
        <f>Orçamento!C67</f>
        <v>Disjuntor termomagnético, tripolar 220/380 V, corrente de 125 a 150A</v>
      </c>
      <c r="D169" s="74"/>
      <c r="E169" s="74"/>
      <c r="F169" s="74"/>
      <c r="G169" s="76"/>
      <c r="H169" s="76"/>
      <c r="I169" s="76"/>
      <c r="J169" s="74"/>
      <c r="K169" s="124"/>
      <c r="L169" s="77"/>
    </row>
    <row r="170" spans="2:12" ht="18">
      <c r="B170" s="114"/>
      <c r="C170" s="110"/>
      <c r="D170" s="93"/>
      <c r="E170" s="93"/>
      <c r="F170" s="93"/>
      <c r="G170" s="81"/>
      <c r="H170" s="81"/>
      <c r="I170" s="81"/>
      <c r="J170" s="93"/>
      <c r="K170" s="119">
        <v>2</v>
      </c>
      <c r="L170" s="90">
        <f>K170</f>
        <v>2</v>
      </c>
    </row>
    <row r="171" spans="2:12" ht="54">
      <c r="B171" s="335" t="str">
        <f>Orçamento!B68</f>
        <v>7.8</v>
      </c>
      <c r="C171" s="100" t="str">
        <f>Orçamento!C68</f>
        <v>Disjuntor termomagnetico monopolar padrao nema (americano) 10 a 30a 220v, fornecimento e instalacao</v>
      </c>
      <c r="D171" s="74"/>
      <c r="E171" s="74"/>
      <c r="F171" s="74"/>
      <c r="G171" s="76"/>
      <c r="H171" s="76"/>
      <c r="I171" s="76"/>
      <c r="J171" s="74"/>
      <c r="K171" s="76">
        <v>24</v>
      </c>
      <c r="L171" s="77">
        <f>K171</f>
        <v>24</v>
      </c>
    </row>
    <row r="172" spans="2:12" ht="54">
      <c r="B172" s="99" t="str">
        <f>Orçamento!B69</f>
        <v>7.8</v>
      </c>
      <c r="C172" s="100" t="str">
        <f>Orçamento!C69</f>
        <v>Ponto de interruptor 01 seção (1 s) embutido com eletroduto de pvc rígido Ø 3/4"</v>
      </c>
      <c r="D172" s="74"/>
      <c r="E172" s="74"/>
      <c r="F172" s="74"/>
      <c r="G172" s="76"/>
      <c r="H172" s="76"/>
      <c r="I172" s="76"/>
      <c r="J172" s="74"/>
      <c r="K172" s="124"/>
      <c r="L172" s="77"/>
    </row>
    <row r="173" spans="2:12" ht="18">
      <c r="B173" s="114"/>
      <c r="C173" s="110"/>
      <c r="D173" s="93"/>
      <c r="E173" s="93"/>
      <c r="F173" s="93"/>
      <c r="G173" s="81"/>
      <c r="H173" s="81"/>
      <c r="I173" s="81"/>
      <c r="J173" s="93"/>
      <c r="K173" s="119">
        <v>14</v>
      </c>
      <c r="L173" s="90">
        <f>K173</f>
        <v>14</v>
      </c>
    </row>
    <row r="174" spans="2:12" ht="36">
      <c r="B174" s="99" t="str">
        <f>Orçamento!B70</f>
        <v>7.9</v>
      </c>
      <c r="C174" s="100" t="str">
        <f>Orçamento!C70</f>
        <v>Ponto de interruptor 02 seções embutido, com eletroduto de pvc rígido roscável Ø 3/4"</v>
      </c>
      <c r="D174" s="74"/>
      <c r="E174" s="74"/>
      <c r="F174" s="74"/>
      <c r="G174" s="76"/>
      <c r="H174" s="76"/>
      <c r="I174" s="76"/>
      <c r="J174" s="74"/>
      <c r="K174" s="124"/>
      <c r="L174" s="77"/>
    </row>
    <row r="175" spans="2:12" ht="18">
      <c r="B175" s="114"/>
      <c r="C175" s="110"/>
      <c r="D175" s="93"/>
      <c r="E175" s="93"/>
      <c r="F175" s="93"/>
      <c r="G175" s="81"/>
      <c r="H175" s="81"/>
      <c r="I175" s="81"/>
      <c r="J175" s="93"/>
      <c r="K175" s="119">
        <v>3</v>
      </c>
      <c r="L175" s="90">
        <f>K175</f>
        <v>3</v>
      </c>
    </row>
    <row r="176" spans="2:12" ht="36">
      <c r="B176" s="99" t="str">
        <f>Orçamento!B71</f>
        <v>7.10</v>
      </c>
      <c r="C176" s="100" t="str">
        <f>Orçamento!C71</f>
        <v>Ponto de interruptor 03 seções embutido, com eletroduto de pvc rígido roscável Ø 3/4"</v>
      </c>
      <c r="D176" s="74"/>
      <c r="E176" s="74"/>
      <c r="F176" s="74"/>
      <c r="G176" s="76"/>
      <c r="H176" s="76"/>
      <c r="I176" s="76"/>
      <c r="J176" s="74"/>
      <c r="K176" s="124"/>
      <c r="L176" s="77"/>
    </row>
    <row r="177" spans="2:12" ht="18">
      <c r="B177" s="114"/>
      <c r="C177" s="110"/>
      <c r="D177" s="93"/>
      <c r="E177" s="93"/>
      <c r="F177" s="93"/>
      <c r="G177" s="81"/>
      <c r="H177" s="81"/>
      <c r="I177" s="81"/>
      <c r="J177" s="93"/>
      <c r="K177" s="119">
        <v>6</v>
      </c>
      <c r="L177" s="90">
        <f>K177</f>
        <v>6</v>
      </c>
    </row>
    <row r="178" spans="2:12" s="483" customFormat="1" ht="72">
      <c r="B178" s="503" t="str">
        <f>Orçamento!B72</f>
        <v>7.11</v>
      </c>
      <c r="C178" s="484" t="str">
        <f>Orçamento!C72</f>
        <v>Luminaria tipo calha, de sobrepor, com reator de partida rapida e lampada fluorescente 2x20w, completa, fornecimento e instalacao</v>
      </c>
      <c r="D178" s="485"/>
      <c r="E178" s="485"/>
      <c r="F178" s="485"/>
      <c r="G178" s="486"/>
      <c r="H178" s="486"/>
      <c r="I178" s="486"/>
      <c r="J178" s="485"/>
      <c r="K178" s="487"/>
      <c r="L178" s="488"/>
    </row>
    <row r="179" spans="2:12" s="483" customFormat="1" ht="18">
      <c r="B179" s="504"/>
      <c r="C179" s="480"/>
      <c r="D179" s="481"/>
      <c r="E179" s="481"/>
      <c r="F179" s="481"/>
      <c r="G179" s="482"/>
      <c r="H179" s="482"/>
      <c r="I179" s="482"/>
      <c r="J179" s="481"/>
      <c r="K179" s="119">
        <v>4</v>
      </c>
      <c r="L179" s="90">
        <f>K179</f>
        <v>4</v>
      </c>
    </row>
    <row r="180" spans="2:12" ht="72">
      <c r="B180" s="99" t="str">
        <f>Orçamento!B73</f>
        <v>7.12</v>
      </c>
      <c r="C180" s="100" t="str">
        <f>Orçamento!C73</f>
        <v>Luminaria tipo calha, de sobrepor, com reator de partida rapida e lampada fluorescente 2x40w, completa, fornecimento e instalacao</v>
      </c>
      <c r="D180" s="74"/>
      <c r="E180" s="74"/>
      <c r="F180" s="74"/>
      <c r="G180" s="76"/>
      <c r="H180" s="76"/>
      <c r="I180" s="76"/>
      <c r="J180" s="74"/>
      <c r="K180" s="124"/>
      <c r="L180" s="77"/>
    </row>
    <row r="181" spans="2:12" ht="18">
      <c r="B181" s="114"/>
      <c r="C181" s="110"/>
      <c r="D181" s="93"/>
      <c r="E181" s="93"/>
      <c r="F181" s="93"/>
      <c r="G181" s="81"/>
      <c r="H181" s="81"/>
      <c r="I181" s="81"/>
      <c r="J181" s="93"/>
      <c r="K181" s="119">
        <v>40</v>
      </c>
      <c r="L181" s="90">
        <f>K181</f>
        <v>40</v>
      </c>
    </row>
    <row r="182" spans="2:12" ht="36">
      <c r="B182" s="99" t="str">
        <f>Orçamento!B74</f>
        <v>7.13</v>
      </c>
      <c r="C182" s="100" t="str">
        <f>Orçamento!C74</f>
        <v>Luminária tipo spot com  1 lâmpada fluorescente Pl 18 w</v>
      </c>
      <c r="D182" s="74"/>
      <c r="E182" s="74"/>
      <c r="F182" s="74"/>
      <c r="G182" s="76"/>
      <c r="H182" s="76"/>
      <c r="I182" s="76"/>
      <c r="J182" s="74"/>
      <c r="K182" s="124"/>
      <c r="L182" s="77"/>
    </row>
    <row r="183" spans="2:12" ht="18">
      <c r="B183" s="114"/>
      <c r="C183" s="110"/>
      <c r="D183" s="93"/>
      <c r="E183" s="93"/>
      <c r="F183" s="93"/>
      <c r="G183" s="81"/>
      <c r="H183" s="81"/>
      <c r="I183" s="81"/>
      <c r="J183" s="93"/>
      <c r="K183" s="119">
        <v>5</v>
      </c>
      <c r="L183" s="90">
        <f>K183</f>
        <v>5</v>
      </c>
    </row>
    <row r="184" spans="2:12" ht="18">
      <c r="B184" s="99" t="str">
        <f>Orçamento!B75</f>
        <v>7.14</v>
      </c>
      <c r="C184" s="100" t="str">
        <f>Orçamento!C75</f>
        <v>Arandela de uso externo</v>
      </c>
      <c r="D184" s="74"/>
      <c r="E184" s="74"/>
      <c r="F184" s="74"/>
      <c r="G184" s="76"/>
      <c r="H184" s="76"/>
      <c r="I184" s="76"/>
      <c r="J184" s="74"/>
      <c r="K184" s="124"/>
      <c r="L184" s="77"/>
    </row>
    <row r="185" spans="2:12" ht="18">
      <c r="B185" s="106"/>
      <c r="C185" s="104"/>
      <c r="D185" s="85"/>
      <c r="E185" s="85"/>
      <c r="F185" s="85"/>
      <c r="G185" s="86"/>
      <c r="H185" s="86"/>
      <c r="I185" s="86"/>
      <c r="J185" s="85"/>
      <c r="K185" s="123">
        <v>16</v>
      </c>
      <c r="L185" s="88">
        <f>K185</f>
        <v>16</v>
      </c>
    </row>
    <row r="186" spans="2:12" ht="90">
      <c r="B186" s="114" t="str">
        <f>Orçamento!B76</f>
        <v>7.15</v>
      </c>
      <c r="C186" s="110" t="str">
        <f>Orçamento!C76</f>
        <v>Quadro de distribuicao de energia de embutir, em chapa metalica, para 12 disjuntores termomagneticos monopolares, com barramento trifasico e neutro, fornecimento e instalacao</v>
      </c>
      <c r="D186" s="93"/>
      <c r="E186" s="93"/>
      <c r="F186" s="93"/>
      <c r="G186" s="81"/>
      <c r="H186" s="81"/>
      <c r="I186" s="81"/>
      <c r="J186" s="93"/>
      <c r="K186" s="81"/>
      <c r="L186" s="90"/>
    </row>
    <row r="187" spans="2:12" ht="18">
      <c r="B187" s="114"/>
      <c r="C187" s="110"/>
      <c r="D187" s="93"/>
      <c r="E187" s="93"/>
      <c r="F187" s="93"/>
      <c r="G187" s="81"/>
      <c r="H187" s="81"/>
      <c r="I187" s="81"/>
      <c r="J187" s="93"/>
      <c r="K187" s="119">
        <v>2</v>
      </c>
      <c r="L187" s="90">
        <f>K187</f>
        <v>2</v>
      </c>
    </row>
    <row r="188" spans="2:12" ht="72">
      <c r="B188" s="99" t="str">
        <f>Orçamento!B77</f>
        <v>7.16</v>
      </c>
      <c r="C188" s="100" t="str">
        <f>Orçamento!C77</f>
        <v>Ponto de tomada 2p+t, ABNT, de embutir, 10 A, com eletroduto de pvc rígido embutido Ø 3/4", fio rigido 2,5mm² inclusive placa em pvc e aterramento</v>
      </c>
      <c r="D188" s="74"/>
      <c r="E188" s="74"/>
      <c r="F188" s="74"/>
      <c r="G188" s="76"/>
      <c r="H188" s="76"/>
      <c r="I188" s="76"/>
      <c r="J188" s="74"/>
      <c r="K188" s="124"/>
      <c r="L188" s="77"/>
    </row>
    <row r="189" spans="2:12" ht="18">
      <c r="B189" s="114"/>
      <c r="C189" s="110"/>
      <c r="D189" s="93"/>
      <c r="E189" s="93"/>
      <c r="F189" s="93"/>
      <c r="G189" s="81"/>
      <c r="H189" s="81"/>
      <c r="I189" s="81"/>
      <c r="J189" s="93"/>
      <c r="K189" s="119">
        <v>26</v>
      </c>
      <c r="L189" s="90">
        <f>K189</f>
        <v>26</v>
      </c>
    </row>
    <row r="190" spans="2:12" ht="54">
      <c r="B190" s="99" t="str">
        <f>Orçamento!B78</f>
        <v>7.17</v>
      </c>
      <c r="C190" s="100" t="str">
        <f>Orçamento!C78</f>
        <v>Ponto para split , com eletroduto de pvc rígido embutido Ø 3/4", incluindo conjunto astop/30a-220v, inclusive aterramento</v>
      </c>
      <c r="D190" s="74"/>
      <c r="E190" s="74"/>
      <c r="F190" s="74"/>
      <c r="G190" s="76"/>
      <c r="H190" s="76"/>
      <c r="I190" s="76"/>
      <c r="J190" s="74"/>
      <c r="K190" s="124"/>
      <c r="L190" s="77"/>
    </row>
    <row r="191" spans="2:12" ht="18">
      <c r="B191" s="106"/>
      <c r="C191" s="104"/>
      <c r="D191" s="85"/>
      <c r="E191" s="85"/>
      <c r="F191" s="85"/>
      <c r="G191" s="86"/>
      <c r="H191" s="86"/>
      <c r="I191" s="86"/>
      <c r="J191" s="85"/>
      <c r="K191" s="123">
        <v>4</v>
      </c>
      <c r="L191" s="88">
        <f>K191</f>
        <v>4</v>
      </c>
    </row>
    <row r="192" spans="2:12" ht="18">
      <c r="B192" s="413" t="str">
        <f>Orçamento!B79</f>
        <v>7.18</v>
      </c>
      <c r="C192" s="110" t="str">
        <f>Orçamento!C79</f>
        <v>Haste copperweld 5/8 x 3,0m com conector</v>
      </c>
      <c r="D192" s="93"/>
      <c r="E192" s="93"/>
      <c r="F192" s="93"/>
      <c r="G192" s="81"/>
      <c r="H192" s="81"/>
      <c r="I192" s="81"/>
      <c r="J192" s="93"/>
      <c r="K192" s="119"/>
      <c r="L192" s="90"/>
    </row>
    <row r="193" spans="2:12" ht="18">
      <c r="B193" s="78"/>
      <c r="C193" s="110"/>
      <c r="D193" s="93"/>
      <c r="E193" s="93"/>
      <c r="F193" s="93"/>
      <c r="G193" s="81"/>
      <c r="H193" s="81"/>
      <c r="I193" s="81"/>
      <c r="J193" s="93"/>
      <c r="K193" s="119">
        <v>4</v>
      </c>
      <c r="L193" s="90">
        <f>K193</f>
        <v>4</v>
      </c>
    </row>
    <row r="194" spans="2:12" ht="21.75" customHeight="1">
      <c r="B194" s="301" t="str">
        <f>Orçamento!B80</f>
        <v>8.00</v>
      </c>
      <c r="C194" s="70" t="str">
        <f>Orçamento!C80</f>
        <v>REVESTIMENTO DE PAREDES INTERNAS</v>
      </c>
      <c r="D194" s="70"/>
      <c r="E194" s="71"/>
      <c r="F194" s="72"/>
      <c r="G194" s="72"/>
      <c r="H194" s="72"/>
      <c r="I194" s="72"/>
      <c r="J194" s="72"/>
      <c r="K194" s="72"/>
      <c r="L194" s="73"/>
    </row>
    <row r="195" spans="2:12" ht="54">
      <c r="B195" s="335" t="str">
        <f>Orçamento!B81</f>
        <v>8.1</v>
      </c>
      <c r="C195" s="100" t="str">
        <f>Orçamento!C81</f>
        <v>Chapisco traco 1:3 (cimento e areia media), espessura 0,5cm, preparo manual da argamassa</v>
      </c>
      <c r="D195" s="75" t="s">
        <v>32</v>
      </c>
      <c r="E195" s="74"/>
      <c r="F195" s="74"/>
      <c r="G195" s="76"/>
      <c r="H195" s="76"/>
      <c r="I195" s="76"/>
      <c r="J195" s="74"/>
      <c r="K195" s="74"/>
      <c r="L195" s="77"/>
    </row>
    <row r="196" spans="2:12" ht="18">
      <c r="B196" s="114"/>
      <c r="C196" s="110"/>
      <c r="D196" s="93"/>
      <c r="E196" s="110" t="s">
        <v>283</v>
      </c>
      <c r="F196" s="81">
        <v>18.4</v>
      </c>
      <c r="G196" s="81"/>
      <c r="H196" s="81">
        <v>1</v>
      </c>
      <c r="I196" s="81">
        <f>F196*H196</f>
        <v>18.4</v>
      </c>
      <c r="J196" s="81"/>
      <c r="K196" s="115"/>
      <c r="L196" s="82">
        <f>I196</f>
        <v>18.4</v>
      </c>
    </row>
    <row r="197" spans="2:12" ht="18">
      <c r="B197" s="114"/>
      <c r="C197" s="110"/>
      <c r="D197" s="93"/>
      <c r="E197" s="110" t="s">
        <v>285</v>
      </c>
      <c r="F197" s="81">
        <v>15.4</v>
      </c>
      <c r="G197" s="81"/>
      <c r="H197" s="81">
        <v>1</v>
      </c>
      <c r="I197" s="81">
        <f>F197*H197</f>
        <v>15.4</v>
      </c>
      <c r="J197" s="81"/>
      <c r="K197" s="115"/>
      <c r="L197" s="82">
        <f>I197</f>
        <v>15.4</v>
      </c>
    </row>
    <row r="198" spans="2:12" ht="18">
      <c r="B198" s="114"/>
      <c r="C198" s="110"/>
      <c r="D198" s="93"/>
      <c r="E198" s="110" t="s">
        <v>286</v>
      </c>
      <c r="F198" s="81">
        <v>15.6</v>
      </c>
      <c r="G198" s="81"/>
      <c r="H198" s="81">
        <v>1</v>
      </c>
      <c r="I198" s="81">
        <f>F198*H198</f>
        <v>15.6</v>
      </c>
      <c r="J198" s="81"/>
      <c r="K198" s="115"/>
      <c r="L198" s="82">
        <f>I198</f>
        <v>15.6</v>
      </c>
    </row>
    <row r="199" spans="2:12" ht="18">
      <c r="B199" s="114"/>
      <c r="C199" s="110"/>
      <c r="D199" s="93"/>
      <c r="E199" s="110" t="s">
        <v>287</v>
      </c>
      <c r="F199" s="81">
        <v>7.9</v>
      </c>
      <c r="G199" s="81"/>
      <c r="H199" s="81">
        <v>1</v>
      </c>
      <c r="I199" s="81">
        <f>F199*H199</f>
        <v>7.9</v>
      </c>
      <c r="J199" s="81"/>
      <c r="K199" s="115"/>
      <c r="L199" s="82">
        <f>I199</f>
        <v>7.9</v>
      </c>
    </row>
    <row r="200" spans="2:12" ht="18">
      <c r="B200" s="114"/>
      <c r="C200" s="110"/>
      <c r="D200" s="93"/>
      <c r="E200" s="118" t="s">
        <v>314</v>
      </c>
      <c r="F200" s="115"/>
      <c r="G200" s="81">
        <v>1</v>
      </c>
      <c r="H200" s="81">
        <v>0.6</v>
      </c>
      <c r="I200" s="81">
        <f>G200*H200</f>
        <v>0.6</v>
      </c>
      <c r="J200" s="115"/>
      <c r="K200" s="115"/>
      <c r="L200" s="82">
        <f>I200</f>
        <v>0.6</v>
      </c>
    </row>
    <row r="201" spans="2:12" ht="18">
      <c r="B201" s="106"/>
      <c r="C201" s="104"/>
      <c r="D201" s="85"/>
      <c r="E201" s="85"/>
      <c r="F201" s="85"/>
      <c r="G201" s="86"/>
      <c r="H201" s="86"/>
      <c r="I201" s="86"/>
      <c r="J201" s="85"/>
      <c r="K201" s="85"/>
      <c r="L201" s="88">
        <f>SUM(L196:L200)</f>
        <v>57.9</v>
      </c>
    </row>
    <row r="202" spans="2:12" ht="36">
      <c r="B202" s="335" t="str">
        <f>Orçamento!B82</f>
        <v>8.2</v>
      </c>
      <c r="C202" s="100" t="str">
        <f>Orçamento!C82</f>
        <v>Reboco traco 1:2:8 (cimento, cal e areia media), espessura 2,0cm, preparo mecânico</v>
      </c>
      <c r="D202" s="75" t="s">
        <v>32</v>
      </c>
      <c r="E202" s="74"/>
      <c r="F202" s="74"/>
      <c r="G202" s="76"/>
      <c r="H202" s="76"/>
      <c r="I202" s="76"/>
      <c r="J202" s="74"/>
      <c r="K202" s="74"/>
      <c r="L202" s="77"/>
    </row>
    <row r="203" spans="2:12" ht="18">
      <c r="B203" s="78"/>
      <c r="C203" s="110"/>
      <c r="D203" s="93"/>
      <c r="E203" s="110" t="s">
        <v>283</v>
      </c>
      <c r="F203" s="81">
        <v>18.4</v>
      </c>
      <c r="G203" s="81"/>
      <c r="H203" s="81">
        <v>1</v>
      </c>
      <c r="I203" s="81">
        <f>F203*H203</f>
        <v>18.4</v>
      </c>
      <c r="J203" s="81"/>
      <c r="K203" s="115"/>
      <c r="L203" s="82">
        <f>I203</f>
        <v>18.4</v>
      </c>
    </row>
    <row r="204" spans="2:12" ht="18">
      <c r="B204" s="78"/>
      <c r="C204" s="110"/>
      <c r="D204" s="93"/>
      <c r="E204" s="110" t="s">
        <v>285</v>
      </c>
      <c r="F204" s="81">
        <v>15.4</v>
      </c>
      <c r="G204" s="81"/>
      <c r="H204" s="81">
        <v>1</v>
      </c>
      <c r="I204" s="81">
        <f>F204*H204</f>
        <v>15.4</v>
      </c>
      <c r="J204" s="81"/>
      <c r="K204" s="115"/>
      <c r="L204" s="82">
        <f>I204</f>
        <v>15.4</v>
      </c>
    </row>
    <row r="205" spans="2:12" ht="18">
      <c r="B205" s="78"/>
      <c r="C205" s="110"/>
      <c r="D205" s="93"/>
      <c r="E205" s="110" t="s">
        <v>286</v>
      </c>
      <c r="F205" s="81">
        <v>15.6</v>
      </c>
      <c r="G205" s="81"/>
      <c r="H205" s="81">
        <v>1</v>
      </c>
      <c r="I205" s="81">
        <f>F205*H205</f>
        <v>15.6</v>
      </c>
      <c r="J205" s="81"/>
      <c r="K205" s="115"/>
      <c r="L205" s="82">
        <f>I205</f>
        <v>15.6</v>
      </c>
    </row>
    <row r="206" spans="2:12" ht="18">
      <c r="B206" s="78"/>
      <c r="C206" s="110"/>
      <c r="D206" s="93"/>
      <c r="E206" s="110" t="s">
        <v>287</v>
      </c>
      <c r="F206" s="81">
        <v>7.9</v>
      </c>
      <c r="G206" s="81"/>
      <c r="H206" s="81">
        <v>1</v>
      </c>
      <c r="I206" s="81">
        <f>F206*H206</f>
        <v>7.9</v>
      </c>
      <c r="J206" s="81"/>
      <c r="K206" s="115"/>
      <c r="L206" s="82">
        <f>I206</f>
        <v>7.9</v>
      </c>
    </row>
    <row r="207" spans="2:12" ht="18">
      <c r="B207" s="78"/>
      <c r="C207" s="110"/>
      <c r="D207" s="93"/>
      <c r="E207" s="118" t="s">
        <v>314</v>
      </c>
      <c r="F207" s="115"/>
      <c r="G207" s="81">
        <v>1</v>
      </c>
      <c r="H207" s="81">
        <v>0.6</v>
      </c>
      <c r="I207" s="81">
        <f>G207*H207</f>
        <v>0.6</v>
      </c>
      <c r="J207" s="115"/>
      <c r="K207" s="115"/>
      <c r="L207" s="82">
        <f>I207</f>
        <v>0.6</v>
      </c>
    </row>
    <row r="208" spans="2:12" ht="18">
      <c r="B208" s="78"/>
      <c r="C208" s="110"/>
      <c r="D208" s="93"/>
      <c r="E208" s="93"/>
      <c r="F208" s="93"/>
      <c r="G208" s="81"/>
      <c r="H208" s="81"/>
      <c r="I208" s="81"/>
      <c r="J208" s="93"/>
      <c r="K208" s="93"/>
      <c r="L208" s="90">
        <f>SUM(L203:L207)</f>
        <v>57.9</v>
      </c>
    </row>
    <row r="209" spans="2:12" ht="54">
      <c r="B209" s="100" t="str">
        <f>Orçamento!B83</f>
        <v>8.3</v>
      </c>
      <c r="C209" s="100" t="str">
        <f>Orçamento!C83</f>
        <v>Revestimento com cerâmica PEI 4, tipo A na cor branca , rejuntada com espessura máxima de 2mm</v>
      </c>
      <c r="D209" s="75" t="s">
        <v>32</v>
      </c>
      <c r="E209" s="74"/>
      <c r="F209" s="74"/>
      <c r="G209" s="76"/>
      <c r="H209" s="76"/>
      <c r="I209" s="76"/>
      <c r="J209" s="74"/>
      <c r="K209" s="74"/>
      <c r="L209" s="77"/>
    </row>
    <row r="210" spans="2:12" ht="18">
      <c r="B210" s="78"/>
      <c r="C210" s="110"/>
      <c r="D210" s="93"/>
      <c r="E210" s="110" t="s">
        <v>284</v>
      </c>
      <c r="F210" s="81">
        <v>8.24</v>
      </c>
      <c r="G210" s="115"/>
      <c r="H210" s="81">
        <v>1.6</v>
      </c>
      <c r="I210" s="81">
        <f>F210*H210</f>
        <v>13.184000000000001</v>
      </c>
      <c r="J210" s="81"/>
      <c r="K210" s="81"/>
      <c r="L210" s="82">
        <f>I210</f>
        <v>13.184000000000001</v>
      </c>
    </row>
    <row r="211" spans="2:12" ht="18">
      <c r="B211" s="78"/>
      <c r="C211" s="110"/>
      <c r="D211" s="93"/>
      <c r="E211" s="110" t="s">
        <v>287</v>
      </c>
      <c r="F211" s="81">
        <v>7.9</v>
      </c>
      <c r="G211" s="115"/>
      <c r="H211" s="81">
        <v>1.6</v>
      </c>
      <c r="I211" s="81">
        <f>F211*H211</f>
        <v>12.64</v>
      </c>
      <c r="J211" s="81"/>
      <c r="K211" s="81"/>
      <c r="L211" s="82">
        <f>I211</f>
        <v>12.64</v>
      </c>
    </row>
    <row r="212" spans="2:12" ht="18">
      <c r="B212" s="78"/>
      <c r="C212" s="110"/>
      <c r="D212" s="93"/>
      <c r="E212" s="110" t="s">
        <v>290</v>
      </c>
      <c r="F212" s="81">
        <v>6.7</v>
      </c>
      <c r="G212" s="115"/>
      <c r="H212" s="81">
        <v>1.6</v>
      </c>
      <c r="I212" s="81">
        <f>F212*H212</f>
        <v>10.72</v>
      </c>
      <c r="J212" s="81"/>
      <c r="K212" s="81"/>
      <c r="L212" s="82">
        <f>I212</f>
        <v>10.72</v>
      </c>
    </row>
    <row r="213" spans="2:12" ht="18">
      <c r="B213" s="84"/>
      <c r="C213" s="104"/>
      <c r="D213" s="85"/>
      <c r="E213" s="109"/>
      <c r="F213" s="105"/>
      <c r="G213" s="105"/>
      <c r="H213" s="105"/>
      <c r="I213" s="105"/>
      <c r="J213" s="105"/>
      <c r="K213" s="105"/>
      <c r="L213" s="88">
        <f>SUM(L210:L212)</f>
        <v>36.544000000000004</v>
      </c>
    </row>
    <row r="214" spans="2:12" ht="18" customHeight="1">
      <c r="B214" s="505" t="str">
        <f>Orçamento!B84</f>
        <v>9.00</v>
      </c>
      <c r="C214" s="95" t="str">
        <f>Orçamento!C84</f>
        <v>REVESTIMENTO DE PAREDES EXTERNAS</v>
      </c>
      <c r="D214" s="95"/>
      <c r="E214" s="96"/>
      <c r="F214" s="97"/>
      <c r="G214" s="97"/>
      <c r="H214" s="97"/>
      <c r="I214" s="97"/>
      <c r="J214" s="97"/>
      <c r="K214" s="97"/>
      <c r="L214" s="98"/>
    </row>
    <row r="215" spans="2:12" ht="54">
      <c r="B215" s="235" t="str">
        <f>Orçamento!B85</f>
        <v>9.1</v>
      </c>
      <c r="C215" s="100" t="str">
        <f>Orçamento!C85</f>
        <v>Chapisco traco 1:3 (cimento e areia media), espessura 0,5cm, preparo manualda argamassa</v>
      </c>
      <c r="D215" s="75" t="s">
        <v>32</v>
      </c>
      <c r="E215" s="74"/>
      <c r="F215" s="74"/>
      <c r="G215" s="74"/>
      <c r="H215" s="74"/>
      <c r="I215" s="74"/>
      <c r="J215" s="74"/>
      <c r="K215" s="74"/>
      <c r="L215" s="111"/>
    </row>
    <row r="216" spans="2:12" ht="18">
      <c r="B216" s="78"/>
      <c r="C216" s="110"/>
      <c r="D216" s="83"/>
      <c r="E216" s="110" t="s">
        <v>253</v>
      </c>
      <c r="F216" s="81">
        <v>24.54</v>
      </c>
      <c r="G216" s="81"/>
      <c r="H216" s="81">
        <v>2</v>
      </c>
      <c r="I216" s="81">
        <f>F216*H216</f>
        <v>49.08</v>
      </c>
      <c r="J216" s="81"/>
      <c r="K216" s="115"/>
      <c r="L216" s="82">
        <f>I216</f>
        <v>49.08</v>
      </c>
    </row>
    <row r="217" spans="2:12" ht="18">
      <c r="B217" s="78"/>
      <c r="C217" s="110"/>
      <c r="D217" s="83"/>
      <c r="E217" s="118" t="s">
        <v>314</v>
      </c>
      <c r="F217" s="115"/>
      <c r="G217" s="81">
        <v>1</v>
      </c>
      <c r="H217" s="81">
        <v>0.6</v>
      </c>
      <c r="I217" s="81">
        <f>G217*H217</f>
        <v>0.6</v>
      </c>
      <c r="J217" s="115"/>
      <c r="K217" s="115"/>
      <c r="L217" s="82">
        <f>I217</f>
        <v>0.6</v>
      </c>
    </row>
    <row r="218" spans="2:12" ht="18">
      <c r="B218" s="78"/>
      <c r="C218" s="110"/>
      <c r="D218" s="83"/>
      <c r="E218" s="118" t="s">
        <v>296</v>
      </c>
      <c r="F218" s="81">
        <v>8.8</v>
      </c>
      <c r="G218" s="81"/>
      <c r="H218" s="81">
        <v>0.4</v>
      </c>
      <c r="I218" s="81">
        <f>F218*H218</f>
        <v>3.5200000000000005</v>
      </c>
      <c r="J218" s="115"/>
      <c r="K218" s="115"/>
      <c r="L218" s="82">
        <f>I218</f>
        <v>3.5200000000000005</v>
      </c>
    </row>
    <row r="219" spans="2:12" ht="18">
      <c r="B219" s="84"/>
      <c r="C219" s="104"/>
      <c r="D219" s="87"/>
      <c r="E219" s="104"/>
      <c r="F219" s="86"/>
      <c r="G219" s="86"/>
      <c r="H219" s="86"/>
      <c r="I219" s="86"/>
      <c r="J219" s="86"/>
      <c r="K219" s="105"/>
      <c r="L219" s="88">
        <f>SUM(L216:L218)</f>
        <v>53.2</v>
      </c>
    </row>
    <row r="220" spans="2:12" ht="36">
      <c r="B220" s="237" t="str">
        <f>Orçamento!B86</f>
        <v>9.2</v>
      </c>
      <c r="C220" s="110" t="str">
        <f>Orçamento!C86</f>
        <v>Reboco traco 1:2:8 (cimento, cal e areia media), espessura 2,0cm, preparo mecânico</v>
      </c>
      <c r="D220" s="83" t="s">
        <v>32</v>
      </c>
      <c r="E220" s="93"/>
      <c r="F220" s="93"/>
      <c r="G220" s="93"/>
      <c r="H220" s="93"/>
      <c r="I220" s="93"/>
      <c r="J220" s="93"/>
      <c r="K220" s="93"/>
      <c r="L220" s="112"/>
    </row>
    <row r="221" spans="2:12" ht="18">
      <c r="B221" s="78"/>
      <c r="C221" s="110"/>
      <c r="D221" s="83"/>
      <c r="E221" s="110" t="s">
        <v>253</v>
      </c>
      <c r="F221" s="81">
        <v>24.54</v>
      </c>
      <c r="G221" s="81"/>
      <c r="H221" s="81">
        <v>2</v>
      </c>
      <c r="I221" s="81">
        <f>F221*H221</f>
        <v>49.08</v>
      </c>
      <c r="J221" s="81"/>
      <c r="K221" s="115"/>
      <c r="L221" s="82">
        <f>I221</f>
        <v>49.08</v>
      </c>
    </row>
    <row r="222" spans="2:12" ht="18">
      <c r="B222" s="78"/>
      <c r="C222" s="110"/>
      <c r="D222" s="83"/>
      <c r="E222" s="118" t="s">
        <v>314</v>
      </c>
      <c r="F222" s="115"/>
      <c r="G222" s="81">
        <v>1</v>
      </c>
      <c r="H222" s="81">
        <v>0.6</v>
      </c>
      <c r="I222" s="81">
        <f>G222*H222</f>
        <v>0.6</v>
      </c>
      <c r="J222" s="115"/>
      <c r="K222" s="115"/>
      <c r="L222" s="82">
        <f>I222</f>
        <v>0.6</v>
      </c>
    </row>
    <row r="223" spans="2:12" ht="18">
      <c r="B223" s="78"/>
      <c r="C223" s="110"/>
      <c r="D223" s="83"/>
      <c r="E223" s="118" t="s">
        <v>296</v>
      </c>
      <c r="F223" s="81">
        <v>8.8</v>
      </c>
      <c r="G223" s="81"/>
      <c r="H223" s="81">
        <v>0.4</v>
      </c>
      <c r="I223" s="81">
        <f>F223*H223</f>
        <v>3.5200000000000005</v>
      </c>
      <c r="J223" s="115"/>
      <c r="K223" s="115"/>
      <c r="L223" s="82">
        <f>I223</f>
        <v>3.5200000000000005</v>
      </c>
    </row>
    <row r="224" spans="2:12" ht="18">
      <c r="B224" s="78"/>
      <c r="C224" s="110"/>
      <c r="D224" s="83"/>
      <c r="E224" s="92"/>
      <c r="F224" s="85"/>
      <c r="G224" s="85"/>
      <c r="H224" s="85"/>
      <c r="I224" s="85"/>
      <c r="J224" s="85"/>
      <c r="K224" s="85"/>
      <c r="L224" s="88">
        <f>SUM(L221:L223)</f>
        <v>53.2</v>
      </c>
    </row>
    <row r="225" spans="2:12" ht="18">
      <c r="B225" s="301" t="str">
        <f>Orçamento!B87</f>
        <v>10.00</v>
      </c>
      <c r="C225" s="70" t="str">
        <f>Orçamento!C87</f>
        <v>PAVIMENTAÇÃO</v>
      </c>
      <c r="D225" s="70"/>
      <c r="E225" s="71"/>
      <c r="F225" s="72"/>
      <c r="G225" s="72"/>
      <c r="H225" s="72"/>
      <c r="I225" s="72"/>
      <c r="J225" s="72"/>
      <c r="K225" s="72"/>
      <c r="L225" s="73"/>
    </row>
    <row r="226" spans="2:12" ht="54">
      <c r="B226" s="235" t="str">
        <f>Orçamento!B88</f>
        <v>10.1</v>
      </c>
      <c r="C226" s="100" t="str">
        <f>Orçamento!C88</f>
        <v>Regularizacao de piso/base em argamassa traco 1:3 (cimento e areia), espessura 2,0cm, preparo manual</v>
      </c>
      <c r="D226" s="75" t="s">
        <v>32</v>
      </c>
      <c r="E226" s="327"/>
      <c r="F226" s="76"/>
      <c r="G226" s="76"/>
      <c r="H226" s="76"/>
      <c r="I226" s="76"/>
      <c r="J226" s="76"/>
      <c r="K226" s="76"/>
      <c r="L226" s="77"/>
    </row>
    <row r="227" spans="2:12" ht="18">
      <c r="B227" s="78"/>
      <c r="C227" s="110"/>
      <c r="D227" s="83"/>
      <c r="E227" s="110" t="s">
        <v>284</v>
      </c>
      <c r="F227" s="81"/>
      <c r="G227" s="81"/>
      <c r="H227" s="81"/>
      <c r="I227" s="81">
        <v>3.83</v>
      </c>
      <c r="J227" s="115"/>
      <c r="K227" s="115"/>
      <c r="L227" s="82">
        <f>I227</f>
        <v>3.83</v>
      </c>
    </row>
    <row r="228" spans="2:12" ht="18">
      <c r="B228" s="78"/>
      <c r="C228" s="110"/>
      <c r="D228" s="83"/>
      <c r="E228" s="110" t="s">
        <v>287</v>
      </c>
      <c r="F228" s="81"/>
      <c r="G228" s="81"/>
      <c r="H228" s="81"/>
      <c r="I228" s="81">
        <v>3.63</v>
      </c>
      <c r="J228" s="115"/>
      <c r="K228" s="115"/>
      <c r="L228" s="82">
        <f>I228</f>
        <v>3.63</v>
      </c>
    </row>
    <row r="229" spans="2:12" ht="18">
      <c r="B229" s="78"/>
      <c r="C229" s="110"/>
      <c r="D229" s="83"/>
      <c r="E229" s="110" t="s">
        <v>290</v>
      </c>
      <c r="F229" s="81"/>
      <c r="G229" s="81"/>
      <c r="H229" s="81"/>
      <c r="I229" s="81">
        <v>2.61</v>
      </c>
      <c r="J229" s="115"/>
      <c r="K229" s="115"/>
      <c r="L229" s="82">
        <f>I229</f>
        <v>2.61</v>
      </c>
    </row>
    <row r="230" spans="2:12" ht="18">
      <c r="B230" s="84"/>
      <c r="C230" s="104"/>
      <c r="D230" s="87"/>
      <c r="E230" s="304"/>
      <c r="F230" s="86"/>
      <c r="G230" s="86"/>
      <c r="H230" s="86"/>
      <c r="I230" s="86"/>
      <c r="J230" s="86"/>
      <c r="K230" s="86"/>
      <c r="L230" s="88">
        <f>SUM(L227:L229)</f>
        <v>10.07</v>
      </c>
    </row>
    <row r="231" spans="2:12" ht="54">
      <c r="B231" s="99" t="str">
        <f>Orçamento!B89</f>
        <v>10.2</v>
      </c>
      <c r="C231" s="100" t="str">
        <f>Orçamento!C89</f>
        <v>Revestimento com cerâmica PEI 4, tipo A na cor branca , rejuntada com espessura máxima de 2mm</v>
      </c>
      <c r="D231" s="75" t="s">
        <v>32</v>
      </c>
      <c r="E231" s="327"/>
      <c r="F231" s="76"/>
      <c r="G231" s="76"/>
      <c r="H231" s="76"/>
      <c r="I231" s="76"/>
      <c r="J231" s="76"/>
      <c r="K231" s="76"/>
      <c r="L231" s="77"/>
    </row>
    <row r="232" spans="2:12" ht="18">
      <c r="B232" s="78"/>
      <c r="C232" s="110"/>
      <c r="D232" s="83"/>
      <c r="E232" s="110" t="s">
        <v>284</v>
      </c>
      <c r="F232" s="81"/>
      <c r="G232" s="81"/>
      <c r="H232" s="81"/>
      <c r="I232" s="81">
        <v>3.83</v>
      </c>
      <c r="J232" s="115"/>
      <c r="K232" s="115"/>
      <c r="L232" s="82">
        <f>I232</f>
        <v>3.83</v>
      </c>
    </row>
    <row r="233" spans="2:12" ht="18">
      <c r="B233" s="78"/>
      <c r="C233" s="110"/>
      <c r="D233" s="83"/>
      <c r="E233" s="110" t="s">
        <v>287</v>
      </c>
      <c r="F233" s="81"/>
      <c r="G233" s="81"/>
      <c r="H233" s="81"/>
      <c r="I233" s="81">
        <v>3.63</v>
      </c>
      <c r="J233" s="115"/>
      <c r="K233" s="115"/>
      <c r="L233" s="82">
        <f>I233</f>
        <v>3.63</v>
      </c>
    </row>
    <row r="234" spans="2:12" ht="18">
      <c r="B234" s="78"/>
      <c r="C234" s="110"/>
      <c r="D234" s="83"/>
      <c r="E234" s="110" t="s">
        <v>290</v>
      </c>
      <c r="F234" s="81"/>
      <c r="G234" s="81"/>
      <c r="H234" s="81"/>
      <c r="I234" s="81">
        <v>2.61</v>
      </c>
      <c r="J234" s="115"/>
      <c r="K234" s="115"/>
      <c r="L234" s="82">
        <f>I234</f>
        <v>2.61</v>
      </c>
    </row>
    <row r="235" spans="2:12" ht="18">
      <c r="B235" s="78"/>
      <c r="C235" s="110"/>
      <c r="D235" s="83"/>
      <c r="E235" s="113"/>
      <c r="F235" s="81"/>
      <c r="G235" s="81"/>
      <c r="H235" s="81"/>
      <c r="I235" s="81"/>
      <c r="J235" s="81"/>
      <c r="K235" s="81"/>
      <c r="L235" s="90">
        <f>SUM(L232:L234)</f>
        <v>10.07</v>
      </c>
    </row>
    <row r="236" spans="2:12" ht="108">
      <c r="B236" s="100" t="str">
        <f>Orçamento!B90</f>
        <v>10.3</v>
      </c>
      <c r="C236" s="100" t="str">
        <f>Orçamento!C90</f>
        <v>Execução de passeio (calçada) em concreto 12 mpa, traço 1:3:5 (cimento /areia/brita), preparo mecânico, espessura 7cm, com junta de dilatação em madeira, incluso lançamento e adensamento
</v>
      </c>
      <c r="D236" s="75" t="s">
        <v>32</v>
      </c>
      <c r="E236" s="327"/>
      <c r="F236" s="76"/>
      <c r="G236" s="76"/>
      <c r="H236" s="76"/>
      <c r="I236" s="76"/>
      <c r="J236" s="76"/>
      <c r="K236" s="76"/>
      <c r="L236" s="77"/>
    </row>
    <row r="237" spans="2:12" ht="18">
      <c r="B237" s="78"/>
      <c r="C237" s="110"/>
      <c r="D237" s="83"/>
      <c r="E237" s="113" t="s">
        <v>456</v>
      </c>
      <c r="F237" s="81"/>
      <c r="G237" s="81"/>
      <c r="H237" s="81"/>
      <c r="I237" s="81">
        <v>46</v>
      </c>
      <c r="J237" s="81"/>
      <c r="K237" s="81"/>
      <c r="L237" s="90">
        <f>I237</f>
        <v>46</v>
      </c>
    </row>
    <row r="238" spans="2:12" ht="18">
      <c r="B238" s="78"/>
      <c r="C238" s="110"/>
      <c r="D238" s="83"/>
      <c r="E238" s="113"/>
      <c r="F238" s="81"/>
      <c r="G238" s="81"/>
      <c r="H238" s="81"/>
      <c r="I238" s="81"/>
      <c r="J238" s="81"/>
      <c r="K238" s="81"/>
      <c r="L238" s="90">
        <f>L237</f>
        <v>46</v>
      </c>
    </row>
    <row r="239" spans="2:12" ht="18">
      <c r="B239" s="69" t="str">
        <f>Orçamento!B91</f>
        <v>11.00</v>
      </c>
      <c r="C239" s="70" t="str">
        <f>Orçamento!C91</f>
        <v>VIDROS</v>
      </c>
      <c r="D239" s="70"/>
      <c r="E239" s="71"/>
      <c r="F239" s="72"/>
      <c r="G239" s="72"/>
      <c r="H239" s="72"/>
      <c r="I239" s="72"/>
      <c r="J239" s="72"/>
      <c r="K239" s="72"/>
      <c r="L239" s="73"/>
    </row>
    <row r="240" spans="2:12" ht="36">
      <c r="B240" s="99" t="str">
        <f>Orçamento!B92</f>
        <v>11.1</v>
      </c>
      <c r="C240" s="100" t="str">
        <f>Orçamento!C92</f>
        <v>Vidro liso comum transparente, espessura 4mm</v>
      </c>
      <c r="D240" s="75" t="s">
        <v>32</v>
      </c>
      <c r="E240" s="101"/>
      <c r="F240" s="102"/>
      <c r="G240" s="102"/>
      <c r="H240" s="102"/>
      <c r="I240" s="102"/>
      <c r="J240" s="102"/>
      <c r="K240" s="102"/>
      <c r="L240" s="103"/>
    </row>
    <row r="241" spans="2:12" ht="18">
      <c r="B241" s="117"/>
      <c r="C241" s="116"/>
      <c r="D241" s="116"/>
      <c r="E241" s="161"/>
      <c r="F241" s="115"/>
      <c r="G241" s="119">
        <v>1</v>
      </c>
      <c r="H241" s="119">
        <v>1.1</v>
      </c>
      <c r="I241" s="115"/>
      <c r="J241" s="115"/>
      <c r="K241" s="115"/>
      <c r="L241" s="334">
        <f>G241*H241</f>
        <v>1.1</v>
      </c>
    </row>
    <row r="242" spans="2:12" ht="18">
      <c r="B242" s="125"/>
      <c r="C242" s="107"/>
      <c r="D242" s="107"/>
      <c r="E242" s="109"/>
      <c r="F242" s="105"/>
      <c r="G242" s="105"/>
      <c r="H242" s="105"/>
      <c r="I242" s="105"/>
      <c r="J242" s="105"/>
      <c r="K242" s="105"/>
      <c r="L242" s="233">
        <f>L241</f>
        <v>1.1</v>
      </c>
    </row>
    <row r="243" spans="2:12" ht="36">
      <c r="B243" s="114" t="str">
        <f>Orçamento!B93</f>
        <v>11.2</v>
      </c>
      <c r="C243" s="110" t="str">
        <f>Orçamento!C93</f>
        <v>Vidro temperado incolor, espessura 10mm, fornecimento e instalacao</v>
      </c>
      <c r="D243" s="83" t="s">
        <v>32</v>
      </c>
      <c r="E243" s="161"/>
      <c r="F243" s="115"/>
      <c r="G243" s="115"/>
      <c r="H243" s="115"/>
      <c r="I243" s="115"/>
      <c r="J243" s="115"/>
      <c r="K243" s="115"/>
      <c r="L243" s="229"/>
    </row>
    <row r="244" spans="2:12" ht="18">
      <c r="B244" s="117"/>
      <c r="C244" s="116"/>
      <c r="D244" s="116"/>
      <c r="E244" s="110" t="s">
        <v>296</v>
      </c>
      <c r="F244" s="115"/>
      <c r="G244" s="119">
        <v>1</v>
      </c>
      <c r="H244" s="119">
        <v>1</v>
      </c>
      <c r="I244" s="119">
        <f>G244*H244</f>
        <v>1</v>
      </c>
      <c r="J244" s="115"/>
      <c r="K244" s="119"/>
      <c r="L244" s="334">
        <f>I244</f>
        <v>1</v>
      </c>
    </row>
    <row r="245" spans="2:12" ht="18">
      <c r="B245" s="117"/>
      <c r="C245" s="116"/>
      <c r="D245" s="116"/>
      <c r="E245" s="93" t="s">
        <v>296</v>
      </c>
      <c r="F245" s="93"/>
      <c r="G245" s="119">
        <v>0.7</v>
      </c>
      <c r="H245" s="119">
        <v>2.1</v>
      </c>
      <c r="I245" s="119">
        <f>G245*H245</f>
        <v>1.47</v>
      </c>
      <c r="J245" s="93"/>
      <c r="K245" s="119">
        <v>1</v>
      </c>
      <c r="L245" s="234">
        <f>I245</f>
        <v>1.47</v>
      </c>
    </row>
    <row r="246" spans="2:12" ht="18">
      <c r="B246" s="117"/>
      <c r="C246" s="116"/>
      <c r="D246" s="116"/>
      <c r="E246" s="161"/>
      <c r="F246" s="115"/>
      <c r="G246" s="115"/>
      <c r="H246" s="115"/>
      <c r="I246" s="115"/>
      <c r="J246" s="115"/>
      <c r="K246" s="115"/>
      <c r="L246" s="232">
        <f>SUM(L244:L245)</f>
        <v>2.4699999999999998</v>
      </c>
    </row>
    <row r="247" spans="2:12" ht="18" customHeight="1">
      <c r="B247" s="69" t="str">
        <f>Orçamento!B94</f>
        <v>12.00</v>
      </c>
      <c r="C247" s="70" t="str">
        <f>Orçamento!C94</f>
        <v>PINTURA</v>
      </c>
      <c r="D247" s="70"/>
      <c r="E247" s="71"/>
      <c r="F247" s="72"/>
      <c r="G247" s="72"/>
      <c r="H247" s="72"/>
      <c r="I247" s="72"/>
      <c r="J247" s="72"/>
      <c r="K247" s="72"/>
      <c r="L247" s="73"/>
    </row>
    <row r="248" spans="2:12" ht="18" customHeight="1">
      <c r="B248" s="114" t="str">
        <f>Orçamento!B95</f>
        <v>12.1</v>
      </c>
      <c r="C248" s="110" t="str">
        <f>Orçamento!C95</f>
        <v>Aplicação de fundo selador látex pva em paredes, uma demão</v>
      </c>
      <c r="D248" s="83" t="s">
        <v>32</v>
      </c>
      <c r="E248" s="121"/>
      <c r="F248" s="115"/>
      <c r="G248" s="115"/>
      <c r="H248" s="115"/>
      <c r="I248" s="115"/>
      <c r="J248" s="115"/>
      <c r="K248" s="115"/>
      <c r="L248" s="229"/>
    </row>
    <row r="249" spans="2:12" ht="18" customHeight="1">
      <c r="B249" s="114"/>
      <c r="C249" s="110"/>
      <c r="D249" s="83"/>
      <c r="E249" s="121" t="s">
        <v>54</v>
      </c>
      <c r="F249" s="115"/>
      <c r="G249" s="115"/>
      <c r="H249" s="115"/>
      <c r="I249" s="115"/>
      <c r="J249" s="115"/>
      <c r="K249" s="115"/>
      <c r="L249" s="229"/>
    </row>
    <row r="250" spans="2:12" ht="18" customHeight="1">
      <c r="B250" s="117"/>
      <c r="C250" s="110"/>
      <c r="D250" s="83"/>
      <c r="E250" s="110" t="s">
        <v>283</v>
      </c>
      <c r="F250" s="81">
        <v>18.4</v>
      </c>
      <c r="G250" s="81"/>
      <c r="H250" s="81">
        <v>1</v>
      </c>
      <c r="I250" s="81">
        <f>F250*H250</f>
        <v>18.4</v>
      </c>
      <c r="J250" s="81"/>
      <c r="K250" s="115"/>
      <c r="L250" s="82">
        <f>I250</f>
        <v>18.4</v>
      </c>
    </row>
    <row r="251" spans="2:12" ht="18" customHeight="1">
      <c r="B251" s="117"/>
      <c r="C251" s="110"/>
      <c r="D251" s="83"/>
      <c r="E251" s="110" t="s">
        <v>285</v>
      </c>
      <c r="F251" s="81">
        <v>15.4</v>
      </c>
      <c r="G251" s="81"/>
      <c r="H251" s="81">
        <v>1</v>
      </c>
      <c r="I251" s="81">
        <f>F251*H251</f>
        <v>15.4</v>
      </c>
      <c r="J251" s="81"/>
      <c r="K251" s="115"/>
      <c r="L251" s="82">
        <f>I251</f>
        <v>15.4</v>
      </c>
    </row>
    <row r="252" spans="2:12" ht="18" customHeight="1">
      <c r="B252" s="117"/>
      <c r="C252" s="110"/>
      <c r="D252" s="83"/>
      <c r="E252" s="110" t="s">
        <v>286</v>
      </c>
      <c r="F252" s="81">
        <v>15.6</v>
      </c>
      <c r="G252" s="81"/>
      <c r="H252" s="81">
        <v>1</v>
      </c>
      <c r="I252" s="81">
        <f>F252*H252</f>
        <v>15.6</v>
      </c>
      <c r="J252" s="81"/>
      <c r="K252" s="115"/>
      <c r="L252" s="82">
        <f>I252</f>
        <v>15.6</v>
      </c>
    </row>
    <row r="253" spans="2:12" ht="18" customHeight="1">
      <c r="B253" s="117"/>
      <c r="C253" s="110"/>
      <c r="D253" s="83"/>
      <c r="E253" s="110" t="s">
        <v>287</v>
      </c>
      <c r="F253" s="81">
        <v>7.9</v>
      </c>
      <c r="G253" s="81"/>
      <c r="H253" s="81">
        <v>1</v>
      </c>
      <c r="I253" s="81">
        <f>F253*H253</f>
        <v>7.9</v>
      </c>
      <c r="J253" s="81"/>
      <c r="K253" s="115"/>
      <c r="L253" s="82">
        <f>I253</f>
        <v>7.9</v>
      </c>
    </row>
    <row r="254" spans="2:12" ht="18" customHeight="1">
      <c r="B254" s="117"/>
      <c r="C254" s="110"/>
      <c r="D254" s="83"/>
      <c r="E254" s="89"/>
      <c r="F254" s="81"/>
      <c r="G254" s="81"/>
      <c r="H254" s="81"/>
      <c r="I254" s="81"/>
      <c r="J254" s="93"/>
      <c r="K254" s="81"/>
      <c r="L254" s="82"/>
    </row>
    <row r="255" spans="2:12" ht="18" customHeight="1">
      <c r="B255" s="117"/>
      <c r="C255" s="110"/>
      <c r="D255" s="83"/>
      <c r="E255" s="121" t="s">
        <v>55</v>
      </c>
      <c r="F255" s="119"/>
      <c r="G255" s="93"/>
      <c r="H255" s="119"/>
      <c r="I255" s="119"/>
      <c r="J255" s="93"/>
      <c r="K255" s="81"/>
      <c r="L255" s="82"/>
    </row>
    <row r="256" spans="2:12" ht="18" customHeight="1">
      <c r="B256" s="117"/>
      <c r="C256" s="116"/>
      <c r="D256" s="116"/>
      <c r="E256" s="110" t="s">
        <v>253</v>
      </c>
      <c r="F256" s="81">
        <v>24.54</v>
      </c>
      <c r="G256" s="81"/>
      <c r="H256" s="81">
        <v>2</v>
      </c>
      <c r="I256" s="81">
        <f>F256*H256</f>
        <v>49.08</v>
      </c>
      <c r="J256" s="81"/>
      <c r="K256" s="115"/>
      <c r="L256" s="82">
        <f>I256</f>
        <v>49.08</v>
      </c>
    </row>
    <row r="257" spans="2:12" ht="18" customHeight="1">
      <c r="B257" s="117"/>
      <c r="C257" s="116"/>
      <c r="D257" s="116"/>
      <c r="E257" s="110" t="s">
        <v>296</v>
      </c>
      <c r="F257" s="81">
        <f>2*2+2.1*2</f>
        <v>8.2</v>
      </c>
      <c r="G257" s="93"/>
      <c r="H257" s="81">
        <v>0.4</v>
      </c>
      <c r="I257" s="81">
        <f>F257*H257</f>
        <v>3.28</v>
      </c>
      <c r="J257" s="81"/>
      <c r="K257" s="115"/>
      <c r="L257" s="82">
        <f>I257</f>
        <v>3.28</v>
      </c>
    </row>
    <row r="258" spans="2:12" ht="18" customHeight="1">
      <c r="B258" s="117"/>
      <c r="C258" s="116"/>
      <c r="D258" s="116"/>
      <c r="E258" s="89"/>
      <c r="F258" s="119"/>
      <c r="G258" s="93"/>
      <c r="H258" s="119"/>
      <c r="I258" s="81"/>
      <c r="J258" s="93"/>
      <c r="K258" s="81"/>
      <c r="L258" s="90">
        <f>SUM(L250:L257)-86.82</f>
        <v>22.840000000000003</v>
      </c>
    </row>
    <row r="259" spans="2:12" ht="36">
      <c r="B259" s="99" t="str">
        <f>Orçamento!B96</f>
        <v>12.2</v>
      </c>
      <c r="C259" s="100" t="str">
        <f>Orçamento!C96</f>
        <v>Aplicação e lixamento de massa látex em paredes, duas demãos</v>
      </c>
      <c r="D259" s="75" t="s">
        <v>32</v>
      </c>
      <c r="E259" s="74"/>
      <c r="F259" s="74"/>
      <c r="G259" s="74"/>
      <c r="H259" s="74"/>
      <c r="I259" s="74"/>
      <c r="J259" s="74"/>
      <c r="K259" s="74"/>
      <c r="L259" s="111"/>
    </row>
    <row r="260" spans="2:12" ht="18">
      <c r="B260" s="78"/>
      <c r="C260" s="110"/>
      <c r="D260" s="83"/>
      <c r="E260" s="121" t="s">
        <v>54</v>
      </c>
      <c r="F260" s="115"/>
      <c r="G260" s="115"/>
      <c r="H260" s="115"/>
      <c r="I260" s="115"/>
      <c r="J260" s="115"/>
      <c r="K260" s="115"/>
      <c r="L260" s="229"/>
    </row>
    <row r="261" spans="2:12" ht="18">
      <c r="B261" s="78"/>
      <c r="C261" s="110"/>
      <c r="D261" s="83"/>
      <c r="E261" s="110" t="s">
        <v>283</v>
      </c>
      <c r="F261" s="81">
        <v>18.4</v>
      </c>
      <c r="G261" s="81"/>
      <c r="H261" s="81">
        <v>1</v>
      </c>
      <c r="I261" s="81">
        <f>F261*H261</f>
        <v>18.4</v>
      </c>
      <c r="J261" s="81"/>
      <c r="K261" s="115"/>
      <c r="L261" s="82">
        <f>I261</f>
        <v>18.4</v>
      </c>
    </row>
    <row r="262" spans="2:12" ht="18">
      <c r="B262" s="78"/>
      <c r="C262" s="110"/>
      <c r="D262" s="83"/>
      <c r="E262" s="110" t="s">
        <v>285</v>
      </c>
      <c r="F262" s="81">
        <v>15.4</v>
      </c>
      <c r="G262" s="81"/>
      <c r="H262" s="81">
        <v>1</v>
      </c>
      <c r="I262" s="81">
        <f>F262*H262</f>
        <v>15.4</v>
      </c>
      <c r="J262" s="81"/>
      <c r="K262" s="115"/>
      <c r="L262" s="82">
        <f>I262</f>
        <v>15.4</v>
      </c>
    </row>
    <row r="263" spans="2:12" ht="18">
      <c r="B263" s="78"/>
      <c r="C263" s="110"/>
      <c r="D263" s="83"/>
      <c r="E263" s="110" t="s">
        <v>286</v>
      </c>
      <c r="F263" s="81">
        <v>15.6</v>
      </c>
      <c r="G263" s="81"/>
      <c r="H263" s="81">
        <v>1</v>
      </c>
      <c r="I263" s="81">
        <f>F263*H263</f>
        <v>15.6</v>
      </c>
      <c r="J263" s="81"/>
      <c r="K263" s="115"/>
      <c r="L263" s="82">
        <f>I263</f>
        <v>15.6</v>
      </c>
    </row>
    <row r="264" spans="2:12" ht="18">
      <c r="B264" s="78"/>
      <c r="C264" s="110"/>
      <c r="D264" s="83"/>
      <c r="E264" s="110" t="s">
        <v>287</v>
      </c>
      <c r="F264" s="81">
        <v>7.9</v>
      </c>
      <c r="G264" s="81"/>
      <c r="H264" s="81">
        <v>1</v>
      </c>
      <c r="I264" s="81">
        <f>F264*H264</f>
        <v>7.9</v>
      </c>
      <c r="J264" s="81"/>
      <c r="K264" s="115"/>
      <c r="L264" s="82">
        <f>I264</f>
        <v>7.9</v>
      </c>
    </row>
    <row r="265" spans="2:12" ht="18">
      <c r="B265" s="78"/>
      <c r="C265" s="110"/>
      <c r="D265" s="83"/>
      <c r="E265" s="118" t="s">
        <v>314</v>
      </c>
      <c r="F265" s="115"/>
      <c r="G265" s="81">
        <v>1</v>
      </c>
      <c r="H265" s="81">
        <v>0.6</v>
      </c>
      <c r="I265" s="81">
        <f>G265*H265</f>
        <v>0.6</v>
      </c>
      <c r="J265" s="115"/>
      <c r="K265" s="81">
        <v>2</v>
      </c>
      <c r="L265" s="82">
        <f>I265*K265</f>
        <v>1.2</v>
      </c>
    </row>
    <row r="266" spans="2:12" ht="18">
      <c r="B266" s="78"/>
      <c r="C266" s="110"/>
      <c r="D266" s="83"/>
      <c r="E266" s="93"/>
      <c r="F266" s="93"/>
      <c r="G266" s="93"/>
      <c r="H266" s="93"/>
      <c r="I266" s="93"/>
      <c r="J266" s="93"/>
      <c r="K266" s="93"/>
      <c r="L266" s="90">
        <f>SUM(L260:L265)</f>
        <v>58.5</v>
      </c>
    </row>
    <row r="267" spans="2:12" ht="36">
      <c r="B267" s="99" t="str">
        <f>Orçamento!B97</f>
        <v>12.3</v>
      </c>
      <c r="C267" s="100" t="str">
        <f>Orçamento!C97</f>
        <v>Aplicação manual de pintura com tinta látex pva em paredes, duas demão</v>
      </c>
      <c r="D267" s="75" t="s">
        <v>32</v>
      </c>
      <c r="E267" s="74"/>
      <c r="F267" s="74"/>
      <c r="G267" s="74"/>
      <c r="H267" s="74"/>
      <c r="I267" s="74"/>
      <c r="J267" s="74"/>
      <c r="K267" s="74"/>
      <c r="L267" s="111"/>
    </row>
    <row r="268" spans="2:12" ht="18">
      <c r="B268" s="114"/>
      <c r="C268" s="110"/>
      <c r="D268" s="83"/>
      <c r="E268" s="121" t="s">
        <v>54</v>
      </c>
      <c r="F268" s="93"/>
      <c r="G268" s="93"/>
      <c r="H268" s="93"/>
      <c r="I268" s="93"/>
      <c r="J268" s="93"/>
      <c r="K268" s="93"/>
      <c r="L268" s="112"/>
    </row>
    <row r="269" spans="2:12" ht="18">
      <c r="B269" s="114"/>
      <c r="C269" s="110"/>
      <c r="D269" s="83"/>
      <c r="E269" s="110" t="s">
        <v>283</v>
      </c>
      <c r="F269" s="81">
        <v>18.4</v>
      </c>
      <c r="G269" s="115"/>
      <c r="H269" s="81">
        <v>2.8</v>
      </c>
      <c r="I269" s="119">
        <f>F269*H269</f>
        <v>51.519999999999996</v>
      </c>
      <c r="J269" s="93"/>
      <c r="K269" s="93"/>
      <c r="L269" s="82">
        <f>I269</f>
        <v>51.519999999999996</v>
      </c>
    </row>
    <row r="270" spans="2:12" ht="18">
      <c r="B270" s="114"/>
      <c r="C270" s="110"/>
      <c r="D270" s="83"/>
      <c r="E270" s="110" t="s">
        <v>284</v>
      </c>
      <c r="F270" s="81">
        <v>8.24</v>
      </c>
      <c r="G270" s="115"/>
      <c r="H270" s="81">
        <f>H269-1.6</f>
        <v>1.1999999999999997</v>
      </c>
      <c r="I270" s="119">
        <f aca="true" t="shared" si="5" ref="I270:I290">F270*H270</f>
        <v>9.887999999999998</v>
      </c>
      <c r="J270" s="93"/>
      <c r="K270" s="93"/>
      <c r="L270" s="82">
        <f aca="true" t="shared" si="6" ref="L270:L290">I270</f>
        <v>9.887999999999998</v>
      </c>
    </row>
    <row r="271" spans="2:12" ht="18">
      <c r="B271" s="114"/>
      <c r="C271" s="110"/>
      <c r="D271" s="83"/>
      <c r="E271" s="110" t="s">
        <v>285</v>
      </c>
      <c r="F271" s="81">
        <v>15.4</v>
      </c>
      <c r="G271" s="115"/>
      <c r="H271" s="81">
        <v>2.8</v>
      </c>
      <c r="I271" s="119">
        <f t="shared" si="5"/>
        <v>43.12</v>
      </c>
      <c r="J271" s="93"/>
      <c r="K271" s="93"/>
      <c r="L271" s="82">
        <f t="shared" si="6"/>
        <v>43.12</v>
      </c>
    </row>
    <row r="272" spans="2:12" ht="18">
      <c r="B272" s="114"/>
      <c r="C272" s="110"/>
      <c r="D272" s="83"/>
      <c r="E272" s="110" t="s">
        <v>286</v>
      </c>
      <c r="F272" s="81">
        <v>15.6</v>
      </c>
      <c r="G272" s="115"/>
      <c r="H272" s="81">
        <v>2.8</v>
      </c>
      <c r="I272" s="119">
        <f t="shared" si="5"/>
        <v>43.68</v>
      </c>
      <c r="J272" s="93"/>
      <c r="K272" s="93"/>
      <c r="L272" s="82">
        <f t="shared" si="6"/>
        <v>43.68</v>
      </c>
    </row>
    <row r="273" spans="2:12" ht="18">
      <c r="B273" s="114"/>
      <c r="C273" s="110"/>
      <c r="D273" s="83"/>
      <c r="E273" s="110" t="s">
        <v>287</v>
      </c>
      <c r="F273" s="81">
        <v>7.9</v>
      </c>
      <c r="G273" s="115"/>
      <c r="H273" s="81">
        <v>1.2</v>
      </c>
      <c r="I273" s="119">
        <f t="shared" si="5"/>
        <v>9.48</v>
      </c>
      <c r="J273" s="93"/>
      <c r="K273" s="93"/>
      <c r="L273" s="82">
        <f t="shared" si="6"/>
        <v>9.48</v>
      </c>
    </row>
    <row r="274" spans="2:12" ht="18">
      <c r="B274" s="114"/>
      <c r="C274" s="110"/>
      <c r="D274" s="83"/>
      <c r="E274" s="110" t="s">
        <v>288</v>
      </c>
      <c r="F274" s="81">
        <v>7.3</v>
      </c>
      <c r="G274" s="115"/>
      <c r="H274" s="81">
        <v>2.8</v>
      </c>
      <c r="I274" s="119">
        <f t="shared" si="5"/>
        <v>20.439999999999998</v>
      </c>
      <c r="J274" s="93"/>
      <c r="K274" s="93"/>
      <c r="L274" s="82">
        <f t="shared" si="6"/>
        <v>20.439999999999998</v>
      </c>
    </row>
    <row r="275" spans="2:12" ht="18">
      <c r="B275" s="114"/>
      <c r="C275" s="110"/>
      <c r="D275" s="83"/>
      <c r="E275" s="110" t="s">
        <v>318</v>
      </c>
      <c r="F275" s="81">
        <v>84.44</v>
      </c>
      <c r="G275" s="115"/>
      <c r="H275" s="81">
        <v>5</v>
      </c>
      <c r="I275" s="119">
        <f t="shared" si="5"/>
        <v>422.2</v>
      </c>
      <c r="J275" s="93"/>
      <c r="K275" s="93"/>
      <c r="L275" s="82">
        <f t="shared" si="6"/>
        <v>422.2</v>
      </c>
    </row>
    <row r="276" spans="2:12" ht="18">
      <c r="B276" s="114"/>
      <c r="C276" s="110"/>
      <c r="D276" s="83"/>
      <c r="E276" s="110" t="s">
        <v>319</v>
      </c>
      <c r="F276" s="81">
        <v>45.44</v>
      </c>
      <c r="G276" s="115"/>
      <c r="H276" s="81">
        <v>5</v>
      </c>
      <c r="I276" s="119">
        <f t="shared" si="5"/>
        <v>227.2</v>
      </c>
      <c r="J276" s="93"/>
      <c r="K276" s="93"/>
      <c r="L276" s="82">
        <f t="shared" si="6"/>
        <v>227.2</v>
      </c>
    </row>
    <row r="277" spans="2:12" ht="18">
      <c r="B277" s="114"/>
      <c r="C277" s="110"/>
      <c r="D277" s="83"/>
      <c r="E277" s="110" t="s">
        <v>289</v>
      </c>
      <c r="F277" s="81">
        <v>13.28</v>
      </c>
      <c r="G277" s="115"/>
      <c r="H277" s="81">
        <v>2.8</v>
      </c>
      <c r="I277" s="119">
        <f t="shared" si="5"/>
        <v>37.184</v>
      </c>
      <c r="J277" s="93"/>
      <c r="K277" s="93"/>
      <c r="L277" s="82">
        <f t="shared" si="6"/>
        <v>37.184</v>
      </c>
    </row>
    <row r="278" spans="2:12" ht="18">
      <c r="B278" s="114"/>
      <c r="C278" s="110"/>
      <c r="D278" s="83"/>
      <c r="E278" s="110" t="s">
        <v>290</v>
      </c>
      <c r="F278" s="81">
        <v>6.7</v>
      </c>
      <c r="G278" s="115"/>
      <c r="H278" s="81">
        <v>1.2</v>
      </c>
      <c r="I278" s="119">
        <f t="shared" si="5"/>
        <v>8.04</v>
      </c>
      <c r="J278" s="93"/>
      <c r="K278" s="93"/>
      <c r="L278" s="82">
        <f t="shared" si="6"/>
        <v>8.04</v>
      </c>
    </row>
    <row r="279" spans="2:12" ht="18">
      <c r="B279" s="114"/>
      <c r="C279" s="110"/>
      <c r="D279" s="83"/>
      <c r="E279" s="110" t="s">
        <v>320</v>
      </c>
      <c r="F279" s="81">
        <v>19.33</v>
      </c>
      <c r="G279" s="115"/>
      <c r="H279" s="81">
        <v>4.5</v>
      </c>
      <c r="I279" s="119">
        <f t="shared" si="5"/>
        <v>86.98499999999999</v>
      </c>
      <c r="J279" s="93"/>
      <c r="K279" s="93"/>
      <c r="L279" s="82">
        <f t="shared" si="6"/>
        <v>86.98499999999999</v>
      </c>
    </row>
    <row r="280" spans="2:12" ht="18">
      <c r="B280" s="114"/>
      <c r="C280" s="110"/>
      <c r="D280" s="83"/>
      <c r="E280" s="110" t="s">
        <v>321</v>
      </c>
      <c r="F280" s="81">
        <v>7.44</v>
      </c>
      <c r="G280" s="115"/>
      <c r="H280" s="81">
        <v>4.5</v>
      </c>
      <c r="I280" s="119">
        <f t="shared" si="5"/>
        <v>33.480000000000004</v>
      </c>
      <c r="J280" s="93"/>
      <c r="K280" s="93"/>
      <c r="L280" s="82">
        <f t="shared" si="6"/>
        <v>33.480000000000004</v>
      </c>
    </row>
    <row r="281" spans="2:12" ht="18">
      <c r="B281" s="114"/>
      <c r="C281" s="110"/>
      <c r="D281" s="83"/>
      <c r="E281" s="110" t="s">
        <v>322</v>
      </c>
      <c r="F281" s="81">
        <v>6.86</v>
      </c>
      <c r="G281" s="115"/>
      <c r="H281" s="81">
        <v>4.5</v>
      </c>
      <c r="I281" s="119">
        <f t="shared" si="5"/>
        <v>30.87</v>
      </c>
      <c r="J281" s="93"/>
      <c r="K281" s="93"/>
      <c r="L281" s="82">
        <f t="shared" si="6"/>
        <v>30.87</v>
      </c>
    </row>
    <row r="282" spans="2:12" ht="18">
      <c r="B282" s="114"/>
      <c r="C282" s="110"/>
      <c r="D282" s="83"/>
      <c r="E282" s="110" t="s">
        <v>323</v>
      </c>
      <c r="F282" s="81">
        <v>20.6</v>
      </c>
      <c r="G282" s="115"/>
      <c r="H282" s="81">
        <v>4.5</v>
      </c>
      <c r="I282" s="119">
        <f t="shared" si="5"/>
        <v>92.7</v>
      </c>
      <c r="J282" s="93"/>
      <c r="K282" s="93"/>
      <c r="L282" s="82">
        <f t="shared" si="6"/>
        <v>92.7</v>
      </c>
    </row>
    <row r="283" spans="2:12" ht="18">
      <c r="B283" s="114"/>
      <c r="C283" s="110"/>
      <c r="D283" s="83"/>
      <c r="E283" s="110" t="s">
        <v>324</v>
      </c>
      <c r="F283" s="81">
        <v>10.32</v>
      </c>
      <c r="G283" s="115"/>
      <c r="H283" s="81">
        <v>4.5</v>
      </c>
      <c r="I283" s="119">
        <f t="shared" si="5"/>
        <v>46.44</v>
      </c>
      <c r="J283" s="93"/>
      <c r="K283" s="93"/>
      <c r="L283" s="82">
        <f t="shared" si="6"/>
        <v>46.44</v>
      </c>
    </row>
    <row r="284" spans="2:12" ht="18">
      <c r="B284" s="114"/>
      <c r="C284" s="110"/>
      <c r="D284" s="83"/>
      <c r="E284" s="110" t="s">
        <v>325</v>
      </c>
      <c r="F284" s="81">
        <v>9.44</v>
      </c>
      <c r="G284" s="115"/>
      <c r="H284" s="81">
        <v>4.5</v>
      </c>
      <c r="I284" s="119">
        <f t="shared" si="5"/>
        <v>42.48</v>
      </c>
      <c r="J284" s="93"/>
      <c r="K284" s="93"/>
      <c r="L284" s="82">
        <f t="shared" si="6"/>
        <v>42.48</v>
      </c>
    </row>
    <row r="285" spans="2:12" ht="18">
      <c r="B285" s="114"/>
      <c r="C285" s="110"/>
      <c r="D285" s="83"/>
      <c r="E285" s="110" t="s">
        <v>326</v>
      </c>
      <c r="F285" s="81">
        <v>8.4</v>
      </c>
      <c r="G285" s="93"/>
      <c r="H285" s="81">
        <v>4.5</v>
      </c>
      <c r="I285" s="119">
        <f t="shared" si="5"/>
        <v>37.800000000000004</v>
      </c>
      <c r="J285" s="93"/>
      <c r="K285" s="93"/>
      <c r="L285" s="82">
        <f t="shared" si="6"/>
        <v>37.800000000000004</v>
      </c>
    </row>
    <row r="286" spans="2:12" ht="18">
      <c r="B286" s="114"/>
      <c r="C286" s="110"/>
      <c r="D286" s="83"/>
      <c r="E286" s="110" t="s">
        <v>327</v>
      </c>
      <c r="F286" s="81">
        <v>19.2</v>
      </c>
      <c r="G286" s="93"/>
      <c r="H286" s="81">
        <v>4.5</v>
      </c>
      <c r="I286" s="119">
        <f t="shared" si="5"/>
        <v>86.39999999999999</v>
      </c>
      <c r="J286" s="93"/>
      <c r="K286" s="93"/>
      <c r="L286" s="82">
        <f t="shared" si="6"/>
        <v>86.39999999999999</v>
      </c>
    </row>
    <row r="287" spans="2:12" ht="18">
      <c r="B287" s="114"/>
      <c r="C287" s="110"/>
      <c r="D287" s="83"/>
      <c r="E287" s="110" t="s">
        <v>328</v>
      </c>
      <c r="F287" s="81">
        <v>74.35</v>
      </c>
      <c r="G287" s="93"/>
      <c r="H287" s="81">
        <v>4.5</v>
      </c>
      <c r="I287" s="119">
        <f t="shared" si="5"/>
        <v>334.575</v>
      </c>
      <c r="J287" s="93"/>
      <c r="K287" s="93"/>
      <c r="L287" s="82">
        <f t="shared" si="6"/>
        <v>334.575</v>
      </c>
    </row>
    <row r="288" spans="2:12" ht="18">
      <c r="B288" s="114"/>
      <c r="C288" s="110"/>
      <c r="D288" s="83"/>
      <c r="E288" s="110" t="s">
        <v>329</v>
      </c>
      <c r="F288" s="81">
        <v>14.26</v>
      </c>
      <c r="G288" s="93"/>
      <c r="H288" s="81">
        <v>4.5</v>
      </c>
      <c r="I288" s="119">
        <f t="shared" si="5"/>
        <v>64.17</v>
      </c>
      <c r="J288" s="93"/>
      <c r="K288" s="93"/>
      <c r="L288" s="82">
        <f t="shared" si="6"/>
        <v>64.17</v>
      </c>
    </row>
    <row r="289" spans="2:12" ht="18">
      <c r="B289" s="114"/>
      <c r="C289" s="110"/>
      <c r="D289" s="83"/>
      <c r="E289" s="110" t="s">
        <v>330</v>
      </c>
      <c r="F289" s="81">
        <v>63.32</v>
      </c>
      <c r="G289" s="93"/>
      <c r="H289" s="81">
        <v>4.5</v>
      </c>
      <c r="I289" s="119">
        <f t="shared" si="5"/>
        <v>284.94</v>
      </c>
      <c r="J289" s="93"/>
      <c r="K289" s="93"/>
      <c r="L289" s="82">
        <f t="shared" si="6"/>
        <v>284.94</v>
      </c>
    </row>
    <row r="290" spans="2:12" ht="18">
      <c r="B290" s="114"/>
      <c r="C290" s="110"/>
      <c r="D290" s="83"/>
      <c r="E290" s="110" t="s">
        <v>296</v>
      </c>
      <c r="F290" s="81">
        <f>2*2+2.1*2</f>
        <v>8.2</v>
      </c>
      <c r="G290" s="93"/>
      <c r="H290" s="81">
        <v>2.4</v>
      </c>
      <c r="I290" s="119">
        <f t="shared" si="5"/>
        <v>19.679999999999996</v>
      </c>
      <c r="J290" s="93"/>
      <c r="K290" s="93"/>
      <c r="L290" s="82">
        <f t="shared" si="6"/>
        <v>19.679999999999996</v>
      </c>
    </row>
    <row r="291" spans="2:12" ht="18">
      <c r="B291" s="114"/>
      <c r="C291" s="110"/>
      <c r="D291" s="83"/>
      <c r="E291" s="93"/>
      <c r="F291" s="93"/>
      <c r="G291" s="93"/>
      <c r="H291" s="93"/>
      <c r="I291" s="93"/>
      <c r="J291" s="93"/>
      <c r="K291" s="93"/>
      <c r="L291" s="112"/>
    </row>
    <row r="292" spans="2:12" ht="18" customHeight="1">
      <c r="B292" s="78"/>
      <c r="C292" s="110"/>
      <c r="D292" s="83"/>
      <c r="E292" s="121" t="s">
        <v>317</v>
      </c>
      <c r="F292" s="93"/>
      <c r="G292" s="93"/>
      <c r="H292" s="93"/>
      <c r="I292" s="93"/>
      <c r="J292" s="93"/>
      <c r="K292" s="93"/>
      <c r="L292" s="112"/>
    </row>
    <row r="293" spans="2:12" ht="18" customHeight="1">
      <c r="B293" s="78"/>
      <c r="C293" s="110"/>
      <c r="D293" s="83"/>
      <c r="E293" s="110" t="s">
        <v>297</v>
      </c>
      <c r="F293" s="81">
        <v>116.14</v>
      </c>
      <c r="G293" s="115"/>
      <c r="H293" s="81">
        <v>5</v>
      </c>
      <c r="I293" s="81">
        <f>F293*H293</f>
        <v>580.7</v>
      </c>
      <c r="J293" s="115"/>
      <c r="K293" s="115"/>
      <c r="L293" s="82">
        <f>I293+12.07*0.91</f>
        <v>591.6837</v>
      </c>
    </row>
    <row r="294" spans="2:12" ht="20.25" customHeight="1">
      <c r="B294" s="78"/>
      <c r="C294" s="110"/>
      <c r="D294" s="83"/>
      <c r="E294" s="110" t="s">
        <v>298</v>
      </c>
      <c r="F294" s="81">
        <v>125.72</v>
      </c>
      <c r="G294" s="115"/>
      <c r="H294" s="81">
        <v>4.5</v>
      </c>
      <c r="I294" s="81">
        <f>F294*H294</f>
        <v>565.74</v>
      </c>
      <c r="J294" s="115"/>
      <c r="K294" s="115"/>
      <c r="L294" s="82">
        <f>I294+12.07*0.91</f>
        <v>576.7237</v>
      </c>
    </row>
    <row r="295" spans="2:12" ht="18" customHeight="1">
      <c r="B295" s="84"/>
      <c r="C295" s="104"/>
      <c r="D295" s="87"/>
      <c r="E295" s="85"/>
      <c r="F295" s="85"/>
      <c r="G295" s="85"/>
      <c r="H295" s="85"/>
      <c r="I295" s="85"/>
      <c r="J295" s="85"/>
      <c r="K295" s="85"/>
      <c r="L295" s="88">
        <f>SUM(L292:L294)</f>
        <v>1168.4074</v>
      </c>
    </row>
    <row r="296" spans="2:12" ht="36">
      <c r="B296" s="114" t="str">
        <f>Orçamento!B98</f>
        <v>12.4</v>
      </c>
      <c r="C296" s="110" t="str">
        <f>Orçamento!C98</f>
        <v>Aplicação de fundo selador látex PVA em teto, uma demão</v>
      </c>
      <c r="D296" s="83" t="s">
        <v>32</v>
      </c>
      <c r="E296" s="93"/>
      <c r="F296" s="93"/>
      <c r="G296" s="93"/>
      <c r="H296" s="93"/>
      <c r="I296" s="93"/>
      <c r="J296" s="93"/>
      <c r="K296" s="93"/>
      <c r="L296" s="90"/>
    </row>
    <row r="297" spans="2:12" ht="18">
      <c r="B297" s="114"/>
      <c r="C297" s="110"/>
      <c r="D297" s="83"/>
      <c r="E297" s="110" t="s">
        <v>283</v>
      </c>
      <c r="F297" s="81"/>
      <c r="G297" s="81"/>
      <c r="H297" s="81"/>
      <c r="I297" s="81">
        <v>15.95</v>
      </c>
      <c r="J297" s="115"/>
      <c r="K297" s="115"/>
      <c r="L297" s="82">
        <f>I297</f>
        <v>15.95</v>
      </c>
    </row>
    <row r="298" spans="2:12" ht="18">
      <c r="B298" s="114"/>
      <c r="C298" s="110"/>
      <c r="D298" s="83"/>
      <c r="E298" s="110" t="s">
        <v>284</v>
      </c>
      <c r="F298" s="81"/>
      <c r="G298" s="81"/>
      <c r="H298" s="81"/>
      <c r="I298" s="81">
        <v>3.83</v>
      </c>
      <c r="J298" s="115"/>
      <c r="K298" s="115"/>
      <c r="L298" s="82">
        <f aca="true" t="shared" si="7" ref="L298:L305">I298</f>
        <v>3.83</v>
      </c>
    </row>
    <row r="299" spans="2:12" ht="18">
      <c r="B299" s="114"/>
      <c r="C299" s="110"/>
      <c r="D299" s="83"/>
      <c r="E299" s="110" t="s">
        <v>285</v>
      </c>
      <c r="F299" s="81"/>
      <c r="G299" s="81"/>
      <c r="H299" s="81"/>
      <c r="I299" s="81">
        <v>13.72</v>
      </c>
      <c r="J299" s="115"/>
      <c r="K299" s="115"/>
      <c r="L299" s="82">
        <f t="shared" si="7"/>
        <v>13.72</v>
      </c>
    </row>
    <row r="300" spans="2:12" ht="18">
      <c r="B300" s="114"/>
      <c r="C300" s="110"/>
      <c r="D300" s="83"/>
      <c r="E300" s="110" t="s">
        <v>286</v>
      </c>
      <c r="F300" s="81"/>
      <c r="G300" s="81"/>
      <c r="H300" s="81"/>
      <c r="I300" s="81">
        <v>14.21</v>
      </c>
      <c r="J300" s="115"/>
      <c r="K300" s="115"/>
      <c r="L300" s="82">
        <f t="shared" si="7"/>
        <v>14.21</v>
      </c>
    </row>
    <row r="301" spans="2:12" ht="18">
      <c r="B301" s="114"/>
      <c r="C301" s="110"/>
      <c r="D301" s="83"/>
      <c r="E301" s="110" t="s">
        <v>287</v>
      </c>
      <c r="F301" s="81"/>
      <c r="G301" s="81"/>
      <c r="H301" s="81"/>
      <c r="I301" s="81">
        <v>3.63</v>
      </c>
      <c r="J301" s="115"/>
      <c r="K301" s="115"/>
      <c r="L301" s="82">
        <f t="shared" si="7"/>
        <v>3.63</v>
      </c>
    </row>
    <row r="302" spans="2:12" ht="18">
      <c r="B302" s="114"/>
      <c r="C302" s="110"/>
      <c r="D302" s="83"/>
      <c r="E302" s="110" t="s">
        <v>288</v>
      </c>
      <c r="F302" s="81"/>
      <c r="G302" s="81"/>
      <c r="H302" s="81"/>
      <c r="I302" s="81">
        <v>3.19</v>
      </c>
      <c r="J302" s="115"/>
      <c r="K302" s="115"/>
      <c r="L302" s="82">
        <f t="shared" si="7"/>
        <v>3.19</v>
      </c>
    </row>
    <row r="303" spans="2:12" ht="18">
      <c r="B303" s="114"/>
      <c r="C303" s="110"/>
      <c r="D303" s="83"/>
      <c r="E303" s="110" t="s">
        <v>289</v>
      </c>
      <c r="F303" s="81"/>
      <c r="G303" s="81"/>
      <c r="H303" s="81"/>
      <c r="I303" s="81">
        <v>10.96</v>
      </c>
      <c r="J303" s="115"/>
      <c r="K303" s="115"/>
      <c r="L303" s="82">
        <f t="shared" si="7"/>
        <v>10.96</v>
      </c>
    </row>
    <row r="304" spans="2:12" ht="18" customHeight="1">
      <c r="B304" s="78"/>
      <c r="C304" s="110"/>
      <c r="D304" s="83"/>
      <c r="E304" s="110" t="s">
        <v>290</v>
      </c>
      <c r="F304" s="81"/>
      <c r="G304" s="81"/>
      <c r="H304" s="81"/>
      <c r="I304" s="81">
        <v>2.61</v>
      </c>
      <c r="J304" s="115"/>
      <c r="K304" s="115"/>
      <c r="L304" s="82">
        <f t="shared" si="7"/>
        <v>2.61</v>
      </c>
    </row>
    <row r="305" spans="2:12" ht="18" customHeight="1">
      <c r="B305" s="78"/>
      <c r="C305" s="110"/>
      <c r="D305" s="83"/>
      <c r="E305" s="110" t="s">
        <v>296</v>
      </c>
      <c r="F305" s="81"/>
      <c r="G305" s="81"/>
      <c r="H305" s="81"/>
      <c r="I305" s="81">
        <f>2*2.1</f>
        <v>4.2</v>
      </c>
      <c r="J305" s="115"/>
      <c r="K305" s="115"/>
      <c r="L305" s="82">
        <f t="shared" si="7"/>
        <v>4.2</v>
      </c>
    </row>
    <row r="306" spans="2:12" ht="18" customHeight="1">
      <c r="B306" s="78"/>
      <c r="C306" s="110"/>
      <c r="D306" s="83"/>
      <c r="E306" s="110"/>
      <c r="F306" s="81"/>
      <c r="G306" s="81"/>
      <c r="H306" s="81"/>
      <c r="I306" s="81"/>
      <c r="J306" s="115"/>
      <c r="K306" s="115"/>
      <c r="L306" s="90">
        <f>SUM(L297:L305)</f>
        <v>72.30000000000001</v>
      </c>
    </row>
    <row r="307" spans="2:12" ht="36">
      <c r="B307" s="99" t="str">
        <f>Orçamento!B99</f>
        <v>12.5</v>
      </c>
      <c r="C307" s="100" t="str">
        <f>Orçamento!C99</f>
        <v>Aplicação e lixamento de massa látex em teto, duas demãos</v>
      </c>
      <c r="D307" s="75" t="s">
        <v>32</v>
      </c>
      <c r="E307" s="74"/>
      <c r="F307" s="74"/>
      <c r="G307" s="74"/>
      <c r="H307" s="74"/>
      <c r="I307" s="74"/>
      <c r="J307" s="74"/>
      <c r="K307" s="74"/>
      <c r="L307" s="77"/>
    </row>
    <row r="308" spans="2:12" ht="18" customHeight="1">
      <c r="B308" s="78"/>
      <c r="C308" s="110"/>
      <c r="D308" s="83"/>
      <c r="E308" s="110" t="s">
        <v>283</v>
      </c>
      <c r="F308" s="81"/>
      <c r="G308" s="81"/>
      <c r="H308" s="81"/>
      <c r="I308" s="81">
        <v>15.95</v>
      </c>
      <c r="J308" s="115"/>
      <c r="K308" s="115"/>
      <c r="L308" s="82">
        <f>I308</f>
        <v>15.95</v>
      </c>
    </row>
    <row r="309" spans="2:12" ht="18" customHeight="1">
      <c r="B309" s="78"/>
      <c r="C309" s="110"/>
      <c r="D309" s="83"/>
      <c r="E309" s="110" t="s">
        <v>284</v>
      </c>
      <c r="F309" s="81"/>
      <c r="G309" s="81"/>
      <c r="H309" s="81"/>
      <c r="I309" s="81">
        <v>3.83</v>
      </c>
      <c r="J309" s="115"/>
      <c r="K309" s="115"/>
      <c r="L309" s="82">
        <f aca="true" t="shared" si="8" ref="L309:L316">I309</f>
        <v>3.83</v>
      </c>
    </row>
    <row r="310" spans="2:12" ht="18" customHeight="1">
      <c r="B310" s="78"/>
      <c r="C310" s="110"/>
      <c r="D310" s="83"/>
      <c r="E310" s="110" t="s">
        <v>285</v>
      </c>
      <c r="F310" s="81"/>
      <c r="G310" s="81"/>
      <c r="H310" s="81"/>
      <c r="I310" s="81">
        <v>13.72</v>
      </c>
      <c r="J310" s="115"/>
      <c r="K310" s="115"/>
      <c r="L310" s="82">
        <f t="shared" si="8"/>
        <v>13.72</v>
      </c>
    </row>
    <row r="311" spans="2:12" ht="18" customHeight="1">
      <c r="B311" s="78"/>
      <c r="C311" s="110"/>
      <c r="D311" s="83"/>
      <c r="E311" s="110" t="s">
        <v>286</v>
      </c>
      <c r="F311" s="81"/>
      <c r="G311" s="81"/>
      <c r="H311" s="81"/>
      <c r="I311" s="81">
        <v>14.21</v>
      </c>
      <c r="J311" s="115"/>
      <c r="K311" s="115"/>
      <c r="L311" s="82">
        <f t="shared" si="8"/>
        <v>14.21</v>
      </c>
    </row>
    <row r="312" spans="2:12" ht="18" customHeight="1">
      <c r="B312" s="78"/>
      <c r="C312" s="110"/>
      <c r="D312" s="83"/>
      <c r="E312" s="110" t="s">
        <v>287</v>
      </c>
      <c r="F312" s="81"/>
      <c r="G312" s="81"/>
      <c r="H312" s="81"/>
      <c r="I312" s="81">
        <v>3.63</v>
      </c>
      <c r="J312" s="115"/>
      <c r="K312" s="115"/>
      <c r="L312" s="82">
        <f t="shared" si="8"/>
        <v>3.63</v>
      </c>
    </row>
    <row r="313" spans="2:12" ht="18" customHeight="1">
      <c r="B313" s="78"/>
      <c r="C313" s="110"/>
      <c r="D313" s="83"/>
      <c r="E313" s="110" t="s">
        <v>288</v>
      </c>
      <c r="F313" s="81"/>
      <c r="G313" s="81"/>
      <c r="H313" s="81"/>
      <c r="I313" s="81">
        <v>3.19</v>
      </c>
      <c r="J313" s="115"/>
      <c r="K313" s="115"/>
      <c r="L313" s="82">
        <f t="shared" si="8"/>
        <v>3.19</v>
      </c>
    </row>
    <row r="314" spans="2:12" ht="18" customHeight="1">
      <c r="B314" s="78"/>
      <c r="C314" s="110"/>
      <c r="D314" s="83"/>
      <c r="E314" s="110" t="s">
        <v>289</v>
      </c>
      <c r="F314" s="81"/>
      <c r="G314" s="81"/>
      <c r="H314" s="81"/>
      <c r="I314" s="81">
        <v>10.96</v>
      </c>
      <c r="J314" s="115"/>
      <c r="K314" s="115"/>
      <c r="L314" s="82">
        <f t="shared" si="8"/>
        <v>10.96</v>
      </c>
    </row>
    <row r="315" spans="2:12" ht="18" customHeight="1">
      <c r="B315" s="78"/>
      <c r="C315" s="110"/>
      <c r="D315" s="83"/>
      <c r="E315" s="110" t="s">
        <v>290</v>
      </c>
      <c r="F315" s="81"/>
      <c r="G315" s="81"/>
      <c r="H315" s="81"/>
      <c r="I315" s="81">
        <v>2.61</v>
      </c>
      <c r="J315" s="115"/>
      <c r="K315" s="115"/>
      <c r="L315" s="82">
        <f t="shared" si="8"/>
        <v>2.61</v>
      </c>
    </row>
    <row r="316" spans="2:12" ht="18" customHeight="1">
      <c r="B316" s="78"/>
      <c r="C316" s="110"/>
      <c r="D316" s="83"/>
      <c r="E316" s="110" t="s">
        <v>296</v>
      </c>
      <c r="F316" s="81"/>
      <c r="G316" s="81"/>
      <c r="H316" s="81"/>
      <c r="I316" s="81">
        <f>2*2.1</f>
        <v>4.2</v>
      </c>
      <c r="J316" s="115"/>
      <c r="K316" s="115"/>
      <c r="L316" s="82">
        <f t="shared" si="8"/>
        <v>4.2</v>
      </c>
    </row>
    <row r="317" spans="2:12" ht="18" customHeight="1">
      <c r="B317" s="78"/>
      <c r="C317" s="110"/>
      <c r="D317" s="83"/>
      <c r="E317" s="85"/>
      <c r="F317" s="85"/>
      <c r="G317" s="85"/>
      <c r="H317" s="85"/>
      <c r="I317" s="85"/>
      <c r="J317" s="85"/>
      <c r="K317" s="85"/>
      <c r="L317" s="88">
        <f>SUM(L308:L316)</f>
        <v>72.30000000000001</v>
      </c>
    </row>
    <row r="318" spans="2:12" ht="36">
      <c r="B318" s="99" t="str">
        <f>Orçamento!B100</f>
        <v>12.6</v>
      </c>
      <c r="C318" s="100" t="str">
        <f>Orçamento!C100</f>
        <v>Aplicação manual de pintura com tinta látex PVA em teto, duas demãos</v>
      </c>
      <c r="D318" s="75" t="s">
        <v>32</v>
      </c>
      <c r="E318" s="74"/>
      <c r="F318" s="74"/>
      <c r="G318" s="74"/>
      <c r="H318" s="74"/>
      <c r="I318" s="74"/>
      <c r="J318" s="74"/>
      <c r="K318" s="74"/>
      <c r="L318" s="77"/>
    </row>
    <row r="319" spans="2:12" ht="18" customHeight="1">
      <c r="B319" s="78"/>
      <c r="C319" s="110"/>
      <c r="D319" s="83"/>
      <c r="E319" s="110" t="s">
        <v>283</v>
      </c>
      <c r="F319" s="81"/>
      <c r="G319" s="81"/>
      <c r="H319" s="81"/>
      <c r="I319" s="81">
        <v>15.95</v>
      </c>
      <c r="J319" s="115"/>
      <c r="K319" s="115"/>
      <c r="L319" s="82">
        <f>I319</f>
        <v>15.95</v>
      </c>
    </row>
    <row r="320" spans="2:12" ht="18" customHeight="1">
      <c r="B320" s="78"/>
      <c r="C320" s="110"/>
      <c r="D320" s="83"/>
      <c r="E320" s="110" t="s">
        <v>284</v>
      </c>
      <c r="F320" s="81"/>
      <c r="G320" s="81"/>
      <c r="H320" s="81"/>
      <c r="I320" s="81">
        <v>3.83</v>
      </c>
      <c r="J320" s="115"/>
      <c r="K320" s="115"/>
      <c r="L320" s="82">
        <f aca="true" t="shared" si="9" ref="L320:L327">I320</f>
        <v>3.83</v>
      </c>
    </row>
    <row r="321" spans="2:12" ht="18" customHeight="1">
      <c r="B321" s="78"/>
      <c r="C321" s="110"/>
      <c r="D321" s="83"/>
      <c r="E321" s="110" t="s">
        <v>285</v>
      </c>
      <c r="F321" s="81"/>
      <c r="G321" s="81"/>
      <c r="H321" s="81"/>
      <c r="I321" s="81">
        <v>13.72</v>
      </c>
      <c r="J321" s="115"/>
      <c r="K321" s="115"/>
      <c r="L321" s="82">
        <f t="shared" si="9"/>
        <v>13.72</v>
      </c>
    </row>
    <row r="322" spans="2:12" ht="18" customHeight="1">
      <c r="B322" s="78"/>
      <c r="C322" s="110"/>
      <c r="D322" s="83"/>
      <c r="E322" s="110" t="s">
        <v>286</v>
      </c>
      <c r="F322" s="81"/>
      <c r="G322" s="81"/>
      <c r="H322" s="81"/>
      <c r="I322" s="81">
        <v>14.21</v>
      </c>
      <c r="J322" s="115"/>
      <c r="K322" s="115"/>
      <c r="L322" s="82">
        <f t="shared" si="9"/>
        <v>14.21</v>
      </c>
    </row>
    <row r="323" spans="2:12" ht="18" customHeight="1">
      <c r="B323" s="78"/>
      <c r="C323" s="110"/>
      <c r="D323" s="83"/>
      <c r="E323" s="110" t="s">
        <v>287</v>
      </c>
      <c r="F323" s="81"/>
      <c r="G323" s="81"/>
      <c r="H323" s="81"/>
      <c r="I323" s="81">
        <v>3.63</v>
      </c>
      <c r="J323" s="115"/>
      <c r="K323" s="115"/>
      <c r="L323" s="82">
        <f t="shared" si="9"/>
        <v>3.63</v>
      </c>
    </row>
    <row r="324" spans="2:12" ht="18" customHeight="1">
      <c r="B324" s="78"/>
      <c r="C324" s="110"/>
      <c r="D324" s="83"/>
      <c r="E324" s="110" t="s">
        <v>288</v>
      </c>
      <c r="F324" s="81"/>
      <c r="G324" s="81"/>
      <c r="H324" s="81"/>
      <c r="I324" s="81">
        <v>3.19</v>
      </c>
      <c r="J324" s="115"/>
      <c r="K324" s="115"/>
      <c r="L324" s="82">
        <f t="shared" si="9"/>
        <v>3.19</v>
      </c>
    </row>
    <row r="325" spans="2:12" ht="18" customHeight="1">
      <c r="B325" s="78"/>
      <c r="C325" s="110"/>
      <c r="D325" s="83"/>
      <c r="E325" s="110" t="s">
        <v>289</v>
      </c>
      <c r="F325" s="81"/>
      <c r="G325" s="81"/>
      <c r="H325" s="81"/>
      <c r="I325" s="81">
        <v>10.96</v>
      </c>
      <c r="J325" s="115"/>
      <c r="K325" s="115"/>
      <c r="L325" s="82">
        <f t="shared" si="9"/>
        <v>10.96</v>
      </c>
    </row>
    <row r="326" spans="2:12" ht="18" customHeight="1">
      <c r="B326" s="78"/>
      <c r="C326" s="110"/>
      <c r="D326" s="83"/>
      <c r="E326" s="110" t="s">
        <v>290</v>
      </c>
      <c r="F326" s="81"/>
      <c r="G326" s="81"/>
      <c r="H326" s="81"/>
      <c r="I326" s="81">
        <v>2.61</v>
      </c>
      <c r="J326" s="115"/>
      <c r="K326" s="115"/>
      <c r="L326" s="82">
        <f t="shared" si="9"/>
        <v>2.61</v>
      </c>
    </row>
    <row r="327" spans="2:12" ht="18" customHeight="1">
      <c r="B327" s="78"/>
      <c r="C327" s="110"/>
      <c r="D327" s="83"/>
      <c r="E327" s="110" t="s">
        <v>296</v>
      </c>
      <c r="F327" s="81"/>
      <c r="G327" s="81"/>
      <c r="H327" s="81"/>
      <c r="I327" s="81">
        <f>2*2.1</f>
        <v>4.2</v>
      </c>
      <c r="J327" s="115"/>
      <c r="K327" s="115"/>
      <c r="L327" s="82">
        <f t="shared" si="9"/>
        <v>4.2</v>
      </c>
    </row>
    <row r="328" spans="2:12" ht="18" customHeight="1">
      <c r="B328" s="84"/>
      <c r="C328" s="104"/>
      <c r="D328" s="87"/>
      <c r="E328" s="85"/>
      <c r="F328" s="85"/>
      <c r="G328" s="85"/>
      <c r="H328" s="85"/>
      <c r="I328" s="85"/>
      <c r="J328" s="85"/>
      <c r="K328" s="85"/>
      <c r="L328" s="88">
        <f>SUM(L319:L327)</f>
        <v>72.30000000000001</v>
      </c>
    </row>
    <row r="329" spans="2:12" ht="36">
      <c r="B329" s="99" t="str">
        <f>Orçamento!B101</f>
        <v>12.7</v>
      </c>
      <c r="C329" s="100" t="str">
        <f>Orçamento!C101</f>
        <v>Aplicação manual de pintura com tinta texturizada acrílica em paredes</v>
      </c>
      <c r="D329" s="75" t="s">
        <v>32</v>
      </c>
      <c r="E329" s="74"/>
      <c r="F329" s="74"/>
      <c r="G329" s="74"/>
      <c r="H329" s="74"/>
      <c r="I329" s="74"/>
      <c r="J329" s="74"/>
      <c r="K329" s="74"/>
      <c r="L329" s="77"/>
    </row>
    <row r="330" spans="2:12" ht="18" customHeight="1">
      <c r="B330" s="78"/>
      <c r="C330" s="110"/>
      <c r="D330" s="83"/>
      <c r="E330" s="121" t="s">
        <v>55</v>
      </c>
      <c r="F330" s="119"/>
      <c r="G330" s="93"/>
      <c r="H330" s="119"/>
      <c r="I330" s="119"/>
      <c r="J330" s="93"/>
      <c r="K330" s="81"/>
      <c r="L330" s="82"/>
    </row>
    <row r="331" spans="2:12" ht="18" customHeight="1">
      <c r="B331" s="78"/>
      <c r="C331" s="110"/>
      <c r="D331" s="83"/>
      <c r="E331" s="89" t="s">
        <v>296</v>
      </c>
      <c r="F331" s="81">
        <v>9.2</v>
      </c>
      <c r="G331" s="81"/>
      <c r="H331" s="81">
        <v>2.5</v>
      </c>
      <c r="I331" s="119">
        <f>F331*H331</f>
        <v>23</v>
      </c>
      <c r="J331" s="93"/>
      <c r="K331" s="81"/>
      <c r="L331" s="82">
        <f>I331</f>
        <v>23</v>
      </c>
    </row>
    <row r="332" spans="2:12" ht="18" customHeight="1">
      <c r="B332" s="78"/>
      <c r="C332" s="110"/>
      <c r="D332" s="83"/>
      <c r="E332" s="93"/>
      <c r="F332" s="93"/>
      <c r="G332" s="93"/>
      <c r="H332" s="93"/>
      <c r="I332" s="93"/>
      <c r="J332" s="93"/>
      <c r="K332" s="93"/>
      <c r="L332" s="90">
        <f>SUM(L331:L331)</f>
        <v>23</v>
      </c>
    </row>
    <row r="333" spans="2:12" ht="54">
      <c r="B333" s="100" t="str">
        <f>Orçamento!B102</f>
        <v>12.8</v>
      </c>
      <c r="C333" s="100" t="str">
        <f>Orçamento!C102</f>
        <v>Pintura esmalte brilhante (2 demãos) sobre superfície metálica, inclusive proteção com zarcão (1 demão)</v>
      </c>
      <c r="D333" s="75" t="s">
        <v>32</v>
      </c>
      <c r="E333" s="74"/>
      <c r="F333" s="74"/>
      <c r="G333" s="74"/>
      <c r="H333" s="74"/>
      <c r="I333" s="74"/>
      <c r="J333" s="74"/>
      <c r="K333" s="74"/>
      <c r="L333" s="77"/>
    </row>
    <row r="334" spans="2:12" ht="18" customHeight="1">
      <c r="B334" s="110"/>
      <c r="C334" s="110"/>
      <c r="D334" s="83"/>
      <c r="E334" s="110" t="s">
        <v>331</v>
      </c>
      <c r="F334" s="115"/>
      <c r="G334" s="81">
        <v>5.5</v>
      </c>
      <c r="H334" s="81">
        <v>2.1</v>
      </c>
      <c r="I334" s="119">
        <f>G334*H334*2</f>
        <v>23.1</v>
      </c>
      <c r="J334" s="115"/>
      <c r="K334" s="81">
        <v>2</v>
      </c>
      <c r="L334" s="82">
        <f>I334</f>
        <v>23.1</v>
      </c>
    </row>
    <row r="335" spans="2:12" ht="18" customHeight="1">
      <c r="B335" s="110"/>
      <c r="C335" s="110"/>
      <c r="D335" s="83"/>
      <c r="E335" s="110" t="s">
        <v>332</v>
      </c>
      <c r="F335" s="115"/>
      <c r="G335" s="81">
        <v>1</v>
      </c>
      <c r="H335" s="81">
        <v>0.5</v>
      </c>
      <c r="I335" s="119">
        <f>G335*H335*2</f>
        <v>1</v>
      </c>
      <c r="J335" s="115"/>
      <c r="K335" s="81">
        <v>4</v>
      </c>
      <c r="L335" s="82">
        <f aca="true" t="shared" si="10" ref="L335:L342">I335*K335</f>
        <v>4</v>
      </c>
    </row>
    <row r="336" spans="2:12" ht="18" customHeight="1">
      <c r="B336" s="110"/>
      <c r="C336" s="110"/>
      <c r="D336" s="83"/>
      <c r="E336" s="110" t="s">
        <v>333</v>
      </c>
      <c r="F336" s="115"/>
      <c r="G336" s="81">
        <v>1.5</v>
      </c>
      <c r="H336" s="81">
        <v>0.5</v>
      </c>
      <c r="I336" s="119">
        <f>G336*H336*2</f>
        <v>1.5</v>
      </c>
      <c r="J336" s="115"/>
      <c r="K336" s="81">
        <v>2</v>
      </c>
      <c r="L336" s="82">
        <f t="shared" si="10"/>
        <v>3</v>
      </c>
    </row>
    <row r="337" spans="2:12" ht="18" customHeight="1">
      <c r="B337" s="110"/>
      <c r="C337" s="110"/>
      <c r="D337" s="83"/>
      <c r="E337" s="110" t="s">
        <v>334</v>
      </c>
      <c r="F337" s="115"/>
      <c r="G337" s="81">
        <v>2</v>
      </c>
      <c r="H337" s="81">
        <v>1.5</v>
      </c>
      <c r="I337" s="119">
        <v>9.13</v>
      </c>
      <c r="J337" s="115"/>
      <c r="K337" s="81">
        <v>2</v>
      </c>
      <c r="L337" s="82">
        <f t="shared" si="10"/>
        <v>18.26</v>
      </c>
    </row>
    <row r="338" spans="2:12" ht="18" customHeight="1">
      <c r="B338" s="110"/>
      <c r="C338" s="110"/>
      <c r="D338" s="83"/>
      <c r="E338" s="110" t="s">
        <v>335</v>
      </c>
      <c r="F338" s="81"/>
      <c r="G338" s="81">
        <v>1.3</v>
      </c>
      <c r="H338" s="81">
        <v>1</v>
      </c>
      <c r="I338" s="119">
        <v>9.13</v>
      </c>
      <c r="J338" s="115"/>
      <c r="K338" s="81">
        <v>4</v>
      </c>
      <c r="L338" s="82">
        <f t="shared" si="10"/>
        <v>36.52</v>
      </c>
    </row>
    <row r="339" spans="2:12" ht="18" customHeight="1">
      <c r="B339" s="110"/>
      <c r="C339" s="110"/>
      <c r="D339" s="83"/>
      <c r="E339" s="110" t="s">
        <v>336</v>
      </c>
      <c r="F339" s="81"/>
      <c r="G339" s="81">
        <v>0.7</v>
      </c>
      <c r="H339" s="81">
        <v>2.1</v>
      </c>
      <c r="I339" s="119">
        <v>9.13</v>
      </c>
      <c r="J339" s="115"/>
      <c r="K339" s="81">
        <f>I339*4</f>
        <v>36.52</v>
      </c>
      <c r="L339" s="82">
        <f t="shared" si="10"/>
        <v>333.42760000000004</v>
      </c>
    </row>
    <row r="340" spans="2:12" ht="18" customHeight="1">
      <c r="B340" s="110"/>
      <c r="C340" s="110"/>
      <c r="D340" s="83"/>
      <c r="E340" s="110" t="s">
        <v>337</v>
      </c>
      <c r="F340" s="81"/>
      <c r="G340" s="81">
        <v>0.8</v>
      </c>
      <c r="H340" s="81">
        <v>2.1</v>
      </c>
      <c r="I340" s="119">
        <v>9.13</v>
      </c>
      <c r="J340" s="115"/>
      <c r="K340" s="81">
        <f>I340*4</f>
        <v>36.52</v>
      </c>
      <c r="L340" s="82">
        <f t="shared" si="10"/>
        <v>333.42760000000004</v>
      </c>
    </row>
    <row r="341" spans="2:12" ht="18" customHeight="1">
      <c r="B341" s="110"/>
      <c r="C341" s="110"/>
      <c r="D341" s="83"/>
      <c r="E341" s="110" t="s">
        <v>338</v>
      </c>
      <c r="F341" s="81"/>
      <c r="G341" s="81">
        <v>3.7</v>
      </c>
      <c r="H341" s="81">
        <v>3.1</v>
      </c>
      <c r="I341" s="119">
        <v>9.13</v>
      </c>
      <c r="J341" s="115"/>
      <c r="K341" s="81">
        <v>8</v>
      </c>
      <c r="L341" s="82">
        <f t="shared" si="10"/>
        <v>73.04</v>
      </c>
    </row>
    <row r="342" spans="2:12" ht="18" customHeight="1">
      <c r="B342" s="110"/>
      <c r="C342" s="110"/>
      <c r="D342" s="83"/>
      <c r="E342" s="110" t="s">
        <v>256</v>
      </c>
      <c r="F342" s="81"/>
      <c r="G342" s="81">
        <v>1.6</v>
      </c>
      <c r="H342" s="81">
        <v>2.1</v>
      </c>
      <c r="I342" s="119">
        <v>9.13</v>
      </c>
      <c r="J342" s="115"/>
      <c r="K342" s="81">
        <v>2</v>
      </c>
      <c r="L342" s="82">
        <f t="shared" si="10"/>
        <v>18.26</v>
      </c>
    </row>
    <row r="343" spans="2:12" ht="18" customHeight="1">
      <c r="B343" s="110"/>
      <c r="C343" s="110"/>
      <c r="D343" s="83"/>
      <c r="E343" s="109"/>
      <c r="F343" s="105"/>
      <c r="G343" s="105"/>
      <c r="H343" s="105"/>
      <c r="I343" s="105"/>
      <c r="J343" s="105"/>
      <c r="K343" s="105"/>
      <c r="L343" s="88">
        <f>SUM(L334:L342)</f>
        <v>843.0352</v>
      </c>
    </row>
    <row r="344" spans="2:12" ht="36">
      <c r="B344" s="100" t="str">
        <f>Orçamento!B103</f>
        <v>12.9</v>
      </c>
      <c r="C344" s="100" t="str">
        <f>Orçamento!C103</f>
        <v>Pintura esmalte sintético para madeira, duas demãos, sobre fundo branco</v>
      </c>
      <c r="D344" s="75" t="s">
        <v>32</v>
      </c>
      <c r="E344" s="74"/>
      <c r="F344" s="74"/>
      <c r="G344" s="74"/>
      <c r="H344" s="74"/>
      <c r="I344" s="74"/>
      <c r="J344" s="74"/>
      <c r="K344" s="74"/>
      <c r="L344" s="77"/>
    </row>
    <row r="345" spans="2:12" ht="18" customHeight="1">
      <c r="B345" s="78"/>
      <c r="C345" s="110"/>
      <c r="D345" s="83"/>
      <c r="E345" s="110" t="s">
        <v>339</v>
      </c>
      <c r="F345" s="115"/>
      <c r="G345" s="81">
        <v>0.7</v>
      </c>
      <c r="H345" s="81">
        <v>2.1</v>
      </c>
      <c r="I345" s="119">
        <f>G345*H345*2</f>
        <v>2.94</v>
      </c>
      <c r="J345" s="115"/>
      <c r="K345" s="81">
        <v>6</v>
      </c>
      <c r="L345" s="82">
        <f>I345*2.5</f>
        <v>7.35</v>
      </c>
    </row>
    <row r="346" spans="2:12" ht="18" customHeight="1">
      <c r="B346" s="78"/>
      <c r="C346" s="110"/>
      <c r="D346" s="83"/>
      <c r="E346" s="110" t="s">
        <v>340</v>
      </c>
      <c r="F346" s="115"/>
      <c r="G346" s="81">
        <v>0.8</v>
      </c>
      <c r="H346" s="81">
        <v>2.1</v>
      </c>
      <c r="I346" s="119">
        <f>G346*H346*2</f>
        <v>3.3600000000000003</v>
      </c>
      <c r="J346" s="115"/>
      <c r="K346" s="81">
        <v>8</v>
      </c>
      <c r="L346" s="82">
        <f>I346*2.5</f>
        <v>8.4</v>
      </c>
    </row>
    <row r="347" spans="2:12" ht="18" customHeight="1">
      <c r="B347" s="84"/>
      <c r="C347" s="104"/>
      <c r="D347" s="87"/>
      <c r="E347" s="109"/>
      <c r="F347" s="105"/>
      <c r="G347" s="105"/>
      <c r="H347" s="105"/>
      <c r="I347" s="105"/>
      <c r="J347" s="105"/>
      <c r="K347" s="105"/>
      <c r="L347" s="88">
        <f>SUM(L345:L346)</f>
        <v>15.75</v>
      </c>
    </row>
    <row r="348" spans="2:12" ht="18" customHeight="1">
      <c r="B348" s="69" t="str">
        <f>Orçamento!B104</f>
        <v>13.00</v>
      </c>
      <c r="C348" s="70" t="str">
        <f>Orçamento!C104</f>
        <v>DIVERSOS</v>
      </c>
      <c r="D348" s="70"/>
      <c r="E348" s="71"/>
      <c r="F348" s="72"/>
      <c r="G348" s="72"/>
      <c r="H348" s="72"/>
      <c r="I348" s="72"/>
      <c r="J348" s="72"/>
      <c r="K348" s="72"/>
      <c r="L348" s="73"/>
    </row>
    <row r="349" spans="2:12" ht="18">
      <c r="B349" s="99" t="str">
        <f>Orçamento!B105</f>
        <v>13.1</v>
      </c>
      <c r="C349" s="100" t="str">
        <f>Orçamento!C105</f>
        <v>Forro de Gesso</v>
      </c>
      <c r="D349" s="160" t="s">
        <v>32</v>
      </c>
      <c r="E349" s="74"/>
      <c r="F349" s="312"/>
      <c r="G349" s="74"/>
      <c r="H349" s="74"/>
      <c r="I349" s="74"/>
      <c r="J349" s="74"/>
      <c r="K349" s="74"/>
      <c r="L349" s="77"/>
    </row>
    <row r="350" spans="2:12" ht="18">
      <c r="B350" s="114"/>
      <c r="C350" s="110"/>
      <c r="D350" s="127"/>
      <c r="E350" s="110" t="s">
        <v>283</v>
      </c>
      <c r="F350" s="81"/>
      <c r="G350" s="81"/>
      <c r="H350" s="81"/>
      <c r="I350" s="81">
        <v>15.95</v>
      </c>
      <c r="J350" s="115"/>
      <c r="K350" s="115"/>
      <c r="L350" s="82">
        <f>I350</f>
        <v>15.95</v>
      </c>
    </row>
    <row r="351" spans="2:12" ht="18">
      <c r="B351" s="114"/>
      <c r="C351" s="110"/>
      <c r="D351" s="127"/>
      <c r="E351" s="110" t="s">
        <v>284</v>
      </c>
      <c r="F351" s="81"/>
      <c r="G351" s="81"/>
      <c r="H351" s="81"/>
      <c r="I351" s="81">
        <v>3.83</v>
      </c>
      <c r="J351" s="115"/>
      <c r="K351" s="115"/>
      <c r="L351" s="82">
        <f aca="true" t="shared" si="11" ref="L351:L358">I351</f>
        <v>3.83</v>
      </c>
    </row>
    <row r="352" spans="2:12" ht="18">
      <c r="B352" s="114"/>
      <c r="C352" s="110"/>
      <c r="D352" s="127"/>
      <c r="E352" s="110" t="s">
        <v>285</v>
      </c>
      <c r="F352" s="81"/>
      <c r="G352" s="81"/>
      <c r="H352" s="81"/>
      <c r="I352" s="81">
        <v>13.72</v>
      </c>
      <c r="J352" s="115"/>
      <c r="K352" s="115"/>
      <c r="L352" s="82">
        <f t="shared" si="11"/>
        <v>13.72</v>
      </c>
    </row>
    <row r="353" spans="2:12" ht="18">
      <c r="B353" s="114"/>
      <c r="C353" s="110"/>
      <c r="D353" s="127"/>
      <c r="E353" s="110" t="s">
        <v>286</v>
      </c>
      <c r="F353" s="81"/>
      <c r="G353" s="81"/>
      <c r="H353" s="81"/>
      <c r="I353" s="81">
        <v>14.21</v>
      </c>
      <c r="J353" s="115"/>
      <c r="K353" s="115"/>
      <c r="L353" s="82">
        <f t="shared" si="11"/>
        <v>14.21</v>
      </c>
    </row>
    <row r="354" spans="2:12" ht="18">
      <c r="B354" s="114"/>
      <c r="C354" s="110"/>
      <c r="D354" s="127"/>
      <c r="E354" s="110" t="s">
        <v>287</v>
      </c>
      <c r="F354" s="81"/>
      <c r="G354" s="81"/>
      <c r="H354" s="81"/>
      <c r="I354" s="81">
        <v>3.63</v>
      </c>
      <c r="J354" s="115"/>
      <c r="K354" s="115"/>
      <c r="L354" s="82">
        <f t="shared" si="11"/>
        <v>3.63</v>
      </c>
    </row>
    <row r="355" spans="2:12" ht="18">
      <c r="B355" s="114"/>
      <c r="C355" s="110"/>
      <c r="D355" s="127"/>
      <c r="E355" s="110" t="s">
        <v>288</v>
      </c>
      <c r="F355" s="81"/>
      <c r="G355" s="81"/>
      <c r="H355" s="81"/>
      <c r="I355" s="81">
        <v>3.19</v>
      </c>
      <c r="J355" s="115"/>
      <c r="K355" s="115"/>
      <c r="L355" s="82">
        <f t="shared" si="11"/>
        <v>3.19</v>
      </c>
    </row>
    <row r="356" spans="2:12" ht="18">
      <c r="B356" s="114"/>
      <c r="C356" s="110"/>
      <c r="D356" s="127"/>
      <c r="E356" s="110" t="s">
        <v>289</v>
      </c>
      <c r="F356" s="81"/>
      <c r="G356" s="81"/>
      <c r="H356" s="81"/>
      <c r="I356" s="81">
        <v>10.96</v>
      </c>
      <c r="J356" s="115"/>
      <c r="K356" s="115"/>
      <c r="L356" s="82">
        <f t="shared" si="11"/>
        <v>10.96</v>
      </c>
    </row>
    <row r="357" spans="2:12" ht="18">
      <c r="B357" s="114"/>
      <c r="C357" s="110"/>
      <c r="D357" s="127"/>
      <c r="E357" s="110" t="s">
        <v>290</v>
      </c>
      <c r="F357" s="81"/>
      <c r="G357" s="81"/>
      <c r="H357" s="81"/>
      <c r="I357" s="81">
        <v>2.61</v>
      </c>
      <c r="J357" s="115"/>
      <c r="K357" s="115"/>
      <c r="L357" s="82">
        <f t="shared" si="11"/>
        <v>2.61</v>
      </c>
    </row>
    <row r="358" spans="2:12" ht="18">
      <c r="B358" s="114"/>
      <c r="C358" s="110"/>
      <c r="D358" s="127"/>
      <c r="E358" s="110" t="s">
        <v>296</v>
      </c>
      <c r="F358" s="81"/>
      <c r="G358" s="81"/>
      <c r="H358" s="81"/>
      <c r="I358" s="81">
        <f>2*2.1</f>
        <v>4.2</v>
      </c>
      <c r="J358" s="115"/>
      <c r="K358" s="115"/>
      <c r="L358" s="82">
        <f t="shared" si="11"/>
        <v>4.2</v>
      </c>
    </row>
    <row r="359" spans="2:12" ht="18" customHeight="1">
      <c r="B359" s="238"/>
      <c r="C359" s="157"/>
      <c r="D359" s="157"/>
      <c r="E359" s="89"/>
      <c r="F359" s="81"/>
      <c r="G359" s="81"/>
      <c r="H359" s="81"/>
      <c r="I359" s="120"/>
      <c r="J359" s="157"/>
      <c r="K359" s="157"/>
      <c r="L359" s="90">
        <f>SUM(L350:L358)</f>
        <v>72.30000000000001</v>
      </c>
    </row>
    <row r="360" spans="2:12" ht="18" customHeight="1">
      <c r="B360" s="99" t="str">
        <f>Orçamento!B106</f>
        <v>13.2</v>
      </c>
      <c r="C360" s="100" t="str">
        <f>Orçamento!C106</f>
        <v>Limpeza da obra</v>
      </c>
      <c r="D360" s="424"/>
      <c r="E360" s="91"/>
      <c r="F360" s="76"/>
      <c r="G360" s="76"/>
      <c r="H360" s="76"/>
      <c r="I360" s="312"/>
      <c r="J360" s="424"/>
      <c r="K360" s="424"/>
      <c r="L360" s="77"/>
    </row>
    <row r="361" spans="2:12" ht="18" customHeight="1">
      <c r="B361" s="238"/>
      <c r="C361" s="157"/>
      <c r="D361" s="157"/>
      <c r="E361" s="89" t="s">
        <v>452</v>
      </c>
      <c r="F361" s="81"/>
      <c r="G361" s="81"/>
      <c r="H361" s="81"/>
      <c r="I361" s="81">
        <v>555.7</v>
      </c>
      <c r="J361" s="157"/>
      <c r="K361" s="157"/>
      <c r="L361" s="82">
        <f>I361</f>
        <v>555.7</v>
      </c>
    </row>
    <row r="362" spans="2:12" ht="18" customHeight="1">
      <c r="B362" s="238"/>
      <c r="C362" s="157"/>
      <c r="D362" s="157"/>
      <c r="E362" s="89" t="s">
        <v>453</v>
      </c>
      <c r="F362" s="81"/>
      <c r="G362" s="81"/>
      <c r="H362" s="81"/>
      <c r="I362" s="120">
        <v>612.88</v>
      </c>
      <c r="J362" s="157"/>
      <c r="K362" s="157"/>
      <c r="L362" s="82">
        <f>I362</f>
        <v>612.88</v>
      </c>
    </row>
    <row r="363" spans="2:12" ht="18" customHeight="1">
      <c r="B363" s="313"/>
      <c r="C363" s="314"/>
      <c r="D363" s="314"/>
      <c r="E363" s="92"/>
      <c r="F363" s="86"/>
      <c r="G363" s="86"/>
      <c r="H363" s="86"/>
      <c r="I363" s="122"/>
      <c r="J363" s="314"/>
      <c r="K363" s="314"/>
      <c r="L363" s="88">
        <f>SUM(L361:L362)</f>
        <v>1168.58</v>
      </c>
    </row>
    <row r="364" spans="2:12" ht="18" customHeight="1">
      <c r="B364" s="451"/>
      <c r="C364" s="157"/>
      <c r="D364" s="157"/>
      <c r="E364" s="89"/>
      <c r="F364" s="81"/>
      <c r="G364" s="81"/>
      <c r="H364" s="81"/>
      <c r="I364" s="120"/>
      <c r="J364" s="157"/>
      <c r="K364" s="157"/>
      <c r="L364" s="450"/>
    </row>
    <row r="365" spans="2:12" ht="18" customHeight="1">
      <c r="B365" s="451"/>
      <c r="C365" s="157"/>
      <c r="D365" s="157"/>
      <c r="E365" s="89"/>
      <c r="F365" s="81"/>
      <c r="G365" s="81"/>
      <c r="H365" s="81"/>
      <c r="I365" s="120"/>
      <c r="J365" s="157"/>
      <c r="K365" s="157"/>
      <c r="L365" s="450"/>
    </row>
    <row r="366" spans="2:12" ht="18" customHeight="1">
      <c r="B366" s="451"/>
      <c r="C366" s="157"/>
      <c r="D366" s="157"/>
      <c r="E366" s="89"/>
      <c r="F366" s="81"/>
      <c r="G366" s="81"/>
      <c r="H366" s="81"/>
      <c r="I366" s="120"/>
      <c r="J366" s="157"/>
      <c r="K366" s="157"/>
      <c r="L366" s="450"/>
    </row>
    <row r="367" spans="2:12" ht="18" customHeight="1">
      <c r="B367" s="451"/>
      <c r="C367" s="157"/>
      <c r="D367" s="157"/>
      <c r="E367" s="89"/>
      <c r="F367" s="81"/>
      <c r="G367" s="81"/>
      <c r="H367" s="81"/>
      <c r="I367" s="120"/>
      <c r="J367" s="157"/>
      <c r="K367" s="157"/>
      <c r="L367" s="450"/>
    </row>
    <row r="368" spans="2:12" ht="18" customHeight="1">
      <c r="B368" s="451"/>
      <c r="C368" s="590" t="str">
        <f>Orçamento!B115</f>
        <v>Teresina (PI), 07de Maio de 2015</v>
      </c>
      <c r="D368" s="590"/>
      <c r="E368" s="157"/>
      <c r="F368" s="157"/>
      <c r="G368" s="157"/>
      <c r="H368" s="157"/>
      <c r="I368" s="157"/>
      <c r="J368" s="157"/>
      <c r="K368" s="157"/>
      <c r="L368" s="157"/>
    </row>
    <row r="369" spans="2:12" ht="18" customHeight="1">
      <c r="B369" s="451"/>
      <c r="C369" s="425"/>
      <c r="D369" s="425"/>
      <c r="E369" s="157"/>
      <c r="F369" s="157"/>
      <c r="G369" s="157"/>
      <c r="H369" s="157"/>
      <c r="I369" s="157"/>
      <c r="J369" s="157"/>
      <c r="K369" s="157"/>
      <c r="L369" s="157"/>
    </row>
    <row r="370" spans="2:12" ht="18" customHeight="1">
      <c r="B370" s="451"/>
      <c r="C370" s="425"/>
      <c r="D370" s="425"/>
      <c r="E370" s="157"/>
      <c r="F370" s="157"/>
      <c r="G370" s="157"/>
      <c r="H370" s="157"/>
      <c r="I370" s="157"/>
      <c r="J370" s="157"/>
      <c r="K370" s="157"/>
      <c r="L370" s="157"/>
    </row>
    <row r="371" spans="2:12" ht="18" customHeight="1">
      <c r="B371" s="451"/>
      <c r="C371" s="425"/>
      <c r="D371" s="425"/>
      <c r="E371" s="157"/>
      <c r="F371" s="157"/>
      <c r="G371" s="157"/>
      <c r="H371" s="157"/>
      <c r="I371" s="157"/>
      <c r="J371" s="157"/>
      <c r="K371" s="157"/>
      <c r="L371" s="157"/>
    </row>
    <row r="372" spans="2:12" ht="18" customHeight="1">
      <c r="B372" s="451"/>
      <c r="C372" s="425"/>
      <c r="D372" s="425"/>
      <c r="E372" s="157"/>
      <c r="F372" s="157"/>
      <c r="G372" s="157"/>
      <c r="H372" s="157"/>
      <c r="I372" s="157"/>
      <c r="J372" s="157"/>
      <c r="K372" s="157"/>
      <c r="L372" s="157"/>
    </row>
    <row r="373" spans="2:12" ht="18" customHeight="1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ht="18" customHeight="1"/>
    <row r="375" ht="18" customHeight="1"/>
    <row r="376" ht="18" customHeight="1"/>
    <row r="377" ht="18" customHeight="1"/>
    <row r="378" ht="18" customHeight="1"/>
  </sheetData>
  <sheetProtection/>
  <mergeCells count="12">
    <mergeCell ref="C368:D368"/>
    <mergeCell ref="F4:L5"/>
    <mergeCell ref="F6:L7"/>
    <mergeCell ref="Q7:T15"/>
    <mergeCell ref="B9:E9"/>
    <mergeCell ref="F9:L9"/>
    <mergeCell ref="B10:E10"/>
    <mergeCell ref="F10:L10"/>
    <mergeCell ref="B12:L12"/>
    <mergeCell ref="B2:C7"/>
    <mergeCell ref="D2:E7"/>
    <mergeCell ref="F2:L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0"/>
  <sheetViews>
    <sheetView view="pageBreakPreview" zoomScale="106" zoomScaleSheetLayoutView="106" zoomScalePageLayoutView="0" workbookViewId="0" topLeftCell="A1">
      <selection activeCell="C20" sqref="C20:E20"/>
    </sheetView>
  </sheetViews>
  <sheetFormatPr defaultColWidth="9.140625" defaultRowHeight="18" customHeight="1"/>
  <cols>
    <col min="1" max="1" width="4.7109375" style="239" customWidth="1"/>
    <col min="2" max="2" width="18.7109375" style="265" customWidth="1"/>
    <col min="3" max="3" width="54.00390625" style="239" customWidth="1"/>
    <col min="4" max="4" width="9.57421875" style="262" customWidth="1"/>
    <col min="5" max="5" width="9.7109375" style="266" customWidth="1"/>
    <col min="6" max="6" width="17.00390625" style="264" customWidth="1"/>
    <col min="7" max="7" width="19.140625" style="264" customWidth="1"/>
    <col min="8" max="8" width="15.00390625" style="239" customWidth="1"/>
    <col min="9" max="9" width="14.7109375" style="239" customWidth="1"/>
    <col min="10" max="10" width="0.13671875" style="239" customWidth="1"/>
    <col min="11" max="11" width="11.57421875" style="239" customWidth="1"/>
    <col min="12" max="12" width="17.7109375" style="239" customWidth="1"/>
    <col min="13" max="16384" width="9.140625" style="239" customWidth="1"/>
  </cols>
  <sheetData>
    <row r="1" spans="2:10" ht="18" customHeight="1">
      <c r="B1" s="26"/>
      <c r="C1" s="20"/>
      <c r="D1" s="27"/>
      <c r="E1" s="28"/>
      <c r="F1" s="29"/>
      <c r="G1" s="29"/>
      <c r="H1" s="20"/>
      <c r="I1" s="20"/>
      <c r="J1" s="20"/>
    </row>
    <row r="2" spans="2:10" ht="18" customHeight="1">
      <c r="B2" s="627"/>
      <c r="C2" s="627"/>
      <c r="D2" s="533" t="s">
        <v>40</v>
      </c>
      <c r="E2" s="533"/>
      <c r="F2" s="533"/>
      <c r="G2" s="533"/>
      <c r="H2" s="533"/>
      <c r="I2" s="533"/>
      <c r="J2" s="533"/>
    </row>
    <row r="3" spans="2:10" ht="18" customHeight="1">
      <c r="B3" s="627"/>
      <c r="C3" s="627"/>
      <c r="D3" s="533"/>
      <c r="E3" s="533"/>
      <c r="F3" s="533"/>
      <c r="G3" s="533"/>
      <c r="H3" s="533"/>
      <c r="I3" s="533"/>
      <c r="J3" s="533"/>
    </row>
    <row r="4" spans="2:10" ht="18" customHeight="1">
      <c r="B4" s="627"/>
      <c r="C4" s="627"/>
      <c r="D4" s="628" t="s">
        <v>41</v>
      </c>
      <c r="E4" s="629"/>
      <c r="F4" s="629"/>
      <c r="G4" s="629"/>
      <c r="H4" s="629"/>
      <c r="I4" s="629"/>
      <c r="J4" s="630"/>
    </row>
    <row r="5" spans="2:10" ht="18" customHeight="1">
      <c r="B5" s="627"/>
      <c r="C5" s="627"/>
      <c r="D5" s="631"/>
      <c r="E5" s="632"/>
      <c r="F5" s="632"/>
      <c r="G5" s="632"/>
      <c r="H5" s="632"/>
      <c r="I5" s="632"/>
      <c r="J5" s="633"/>
    </row>
    <row r="6" spans="2:10" ht="18" customHeight="1">
      <c r="B6" s="627"/>
      <c r="C6" s="627"/>
      <c r="D6" s="551" t="s">
        <v>28</v>
      </c>
      <c r="E6" s="551"/>
      <c r="F6" s="551"/>
      <c r="G6" s="551"/>
      <c r="H6" s="551"/>
      <c r="I6" s="551"/>
      <c r="J6" s="551"/>
    </row>
    <row r="7" spans="2:10" ht="18" customHeight="1">
      <c r="B7" s="627"/>
      <c r="C7" s="627"/>
      <c r="D7" s="551"/>
      <c r="E7" s="551"/>
      <c r="F7" s="551"/>
      <c r="G7" s="551"/>
      <c r="H7" s="551"/>
      <c r="I7" s="551"/>
      <c r="J7" s="551"/>
    </row>
    <row r="8" spans="2:10" s="241" customFormat="1" ht="4.5" customHeight="1">
      <c r="B8" s="36"/>
      <c r="C8" s="36"/>
      <c r="D8" s="240"/>
      <c r="E8" s="240"/>
      <c r="F8" s="240"/>
      <c r="G8" s="240"/>
      <c r="H8" s="240"/>
      <c r="I8" s="240"/>
      <c r="J8" s="240"/>
    </row>
    <row r="9" spans="2:10" ht="18" customHeight="1">
      <c r="B9" s="612" t="s">
        <v>460</v>
      </c>
      <c r="C9" s="613"/>
      <c r="D9" s="613"/>
      <c r="E9" s="614"/>
      <c r="F9" s="634" t="s">
        <v>462</v>
      </c>
      <c r="G9" s="635"/>
      <c r="H9" s="635"/>
      <c r="I9" s="635"/>
      <c r="J9" s="636"/>
    </row>
    <row r="10" spans="2:10" ht="18" customHeight="1">
      <c r="B10" s="612" t="s">
        <v>461</v>
      </c>
      <c r="C10" s="613"/>
      <c r="D10" s="613"/>
      <c r="E10" s="614"/>
      <c r="F10" s="615" t="s">
        <v>269</v>
      </c>
      <c r="G10" s="616"/>
      <c r="H10" s="616"/>
      <c r="I10" s="617"/>
      <c r="J10" s="242"/>
    </row>
    <row r="11" spans="2:10" ht="4.5" customHeight="1" thickBot="1">
      <c r="B11" s="243"/>
      <c r="C11" s="243"/>
      <c r="D11" s="243"/>
      <c r="E11" s="243"/>
      <c r="F11" s="244"/>
      <c r="G11" s="244"/>
      <c r="H11" s="244"/>
      <c r="I11" s="244"/>
      <c r="J11" s="245"/>
    </row>
    <row r="12" spans="2:10" ht="18" customHeight="1" thickBot="1">
      <c r="B12" s="618" t="s">
        <v>81</v>
      </c>
      <c r="C12" s="619"/>
      <c r="D12" s="619"/>
      <c r="E12" s="619"/>
      <c r="F12" s="619"/>
      <c r="G12" s="619"/>
      <c r="H12" s="619"/>
      <c r="I12" s="620"/>
      <c r="J12" s="245"/>
    </row>
    <row r="13" spans="2:10" s="247" customFormat="1" ht="4.5" customHeight="1">
      <c r="B13" s="243"/>
      <c r="C13" s="243"/>
      <c r="D13" s="243"/>
      <c r="E13" s="243"/>
      <c r="F13" s="243"/>
      <c r="G13" s="243"/>
      <c r="H13" s="243"/>
      <c r="I13" s="243"/>
      <c r="J13" s="246"/>
    </row>
    <row r="14" spans="2:10" ht="18.75" customHeight="1">
      <c r="B14" s="637" t="s">
        <v>82</v>
      </c>
      <c r="C14" s="638"/>
      <c r="D14" s="639">
        <v>0.8946</v>
      </c>
      <c r="E14" s="639"/>
      <c r="F14" s="640"/>
      <c r="G14" s="640"/>
      <c r="H14" s="640"/>
      <c r="I14" s="641"/>
      <c r="J14" s="248"/>
    </row>
    <row r="15" spans="2:10" ht="18.75" customHeight="1">
      <c r="B15" s="621" t="s">
        <v>250</v>
      </c>
      <c r="C15" s="622"/>
      <c r="D15" s="622"/>
      <c r="E15" s="622"/>
      <c r="F15" s="622"/>
      <c r="G15" s="622"/>
      <c r="H15" s="622"/>
      <c r="I15" s="623"/>
      <c r="J15" s="320"/>
    </row>
    <row r="16" spans="2:10" ht="18.75" customHeight="1">
      <c r="B16" s="323" t="s">
        <v>83</v>
      </c>
      <c r="C16" s="324"/>
      <c r="D16" s="249">
        <f>I31</f>
        <v>32.019999999999996</v>
      </c>
      <c r="E16" s="250"/>
      <c r="F16" s="250"/>
      <c r="G16" s="251"/>
      <c r="H16" s="251"/>
      <c r="I16" s="252" t="s">
        <v>243</v>
      </c>
      <c r="J16" s="320"/>
    </row>
    <row r="17" spans="2:10" ht="18.75" customHeight="1">
      <c r="B17" s="624"/>
      <c r="C17" s="625"/>
      <c r="D17" s="625"/>
      <c r="E17" s="625"/>
      <c r="F17" s="625"/>
      <c r="G17" s="625"/>
      <c r="H17" s="625"/>
      <c r="I17" s="626"/>
      <c r="J17" s="320"/>
    </row>
    <row r="18" spans="2:10" ht="18.75" customHeight="1">
      <c r="B18" s="253" t="s">
        <v>34</v>
      </c>
      <c r="C18" s="254" t="s">
        <v>84</v>
      </c>
      <c r="D18" s="254"/>
      <c r="E18" s="254"/>
      <c r="F18" s="254" t="s">
        <v>4</v>
      </c>
      <c r="G18" s="254" t="s">
        <v>85</v>
      </c>
      <c r="H18" s="254" t="s">
        <v>86</v>
      </c>
      <c r="I18" s="255" t="s">
        <v>87</v>
      </c>
      <c r="J18" s="320"/>
    </row>
    <row r="19" spans="2:10" ht="18.75" customHeight="1">
      <c r="B19" s="609" t="s">
        <v>88</v>
      </c>
      <c r="C19" s="610"/>
      <c r="D19" s="610"/>
      <c r="E19" s="610"/>
      <c r="F19" s="610"/>
      <c r="G19" s="610"/>
      <c r="H19" s="610"/>
      <c r="I19" s="611"/>
      <c r="J19" s="320"/>
    </row>
    <row r="20" spans="2:10" ht="18.75" customHeight="1">
      <c r="B20" s="325" t="s">
        <v>173</v>
      </c>
      <c r="C20" s="603" t="s">
        <v>231</v>
      </c>
      <c r="D20" s="603"/>
      <c r="E20" s="603"/>
      <c r="F20" s="326" t="s">
        <v>95</v>
      </c>
      <c r="G20" s="256">
        <v>0.9</v>
      </c>
      <c r="H20" s="256">
        <f>12.91/1.8946</f>
        <v>6.8141032407896125</v>
      </c>
      <c r="I20" s="257">
        <f>ROUND(G20*H20,2)</f>
        <v>6.13</v>
      </c>
      <c r="J20" s="320"/>
    </row>
    <row r="21" spans="2:10" ht="18.75" customHeight="1">
      <c r="B21" s="325" t="s">
        <v>97</v>
      </c>
      <c r="C21" s="603" t="s">
        <v>232</v>
      </c>
      <c r="D21" s="603"/>
      <c r="E21" s="603"/>
      <c r="F21" s="326" t="s">
        <v>95</v>
      </c>
      <c r="G21" s="256">
        <v>0.9</v>
      </c>
      <c r="H21" s="256">
        <f>10.51/1.8946</f>
        <v>5.5473450860339915</v>
      </c>
      <c r="I21" s="257">
        <f>ROUND(G21*H21,2)</f>
        <v>4.99</v>
      </c>
      <c r="J21" s="320"/>
    </row>
    <row r="22" spans="2:10" ht="18.75" customHeight="1">
      <c r="B22" s="604" t="s">
        <v>89</v>
      </c>
      <c r="C22" s="605"/>
      <c r="D22" s="605"/>
      <c r="E22" s="605"/>
      <c r="F22" s="605"/>
      <c r="G22" s="605"/>
      <c r="H22" s="605"/>
      <c r="I22" s="258">
        <f>SUM(I20:I21)</f>
        <v>11.120000000000001</v>
      </c>
      <c r="J22" s="320"/>
    </row>
    <row r="23" spans="2:10" ht="18.75" customHeight="1">
      <c r="B23" s="609" t="s">
        <v>174</v>
      </c>
      <c r="C23" s="610"/>
      <c r="D23" s="610"/>
      <c r="E23" s="610"/>
      <c r="F23" s="610"/>
      <c r="G23" s="610"/>
      <c r="H23" s="610"/>
      <c r="I23" s="611"/>
      <c r="J23" s="320"/>
    </row>
    <row r="24" spans="2:10" ht="18.75" customHeight="1">
      <c r="B24" s="325" t="s">
        <v>249</v>
      </c>
      <c r="C24" s="603" t="s">
        <v>248</v>
      </c>
      <c r="D24" s="603"/>
      <c r="E24" s="603"/>
      <c r="F24" s="326" t="s">
        <v>177</v>
      </c>
      <c r="G24" s="256">
        <v>1.1</v>
      </c>
      <c r="H24" s="256">
        <v>7.78</v>
      </c>
      <c r="I24" s="257">
        <f>ROUND(G24*H24,2)</f>
        <v>8.56</v>
      </c>
      <c r="J24" s="320"/>
    </row>
    <row r="25" spans="2:10" ht="18.75" customHeight="1">
      <c r="B25" s="325" t="s">
        <v>247</v>
      </c>
      <c r="C25" s="603" t="s">
        <v>244</v>
      </c>
      <c r="D25" s="603"/>
      <c r="E25" s="603"/>
      <c r="F25" s="326" t="s">
        <v>96</v>
      </c>
      <c r="G25" s="336">
        <v>0.0293</v>
      </c>
      <c r="H25" s="256">
        <v>34.69</v>
      </c>
      <c r="I25" s="257">
        <f>ROUND(G25*H25,2)</f>
        <v>1.02</v>
      </c>
      <c r="J25" s="320"/>
    </row>
    <row r="26" spans="2:10" ht="18.75" customHeight="1">
      <c r="B26" s="325" t="s">
        <v>246</v>
      </c>
      <c r="C26" s="603" t="s">
        <v>245</v>
      </c>
      <c r="D26" s="603"/>
      <c r="E26" s="603"/>
      <c r="F26" s="326" t="s">
        <v>96</v>
      </c>
      <c r="G26" s="336">
        <v>0.0455</v>
      </c>
      <c r="H26" s="256">
        <v>30.12</v>
      </c>
      <c r="I26" s="257">
        <f>ROUND(G26*H26,2)</f>
        <v>1.37</v>
      </c>
      <c r="J26" s="320"/>
    </row>
    <row r="27" spans="2:10" ht="18.75" customHeight="1">
      <c r="B27" s="604" t="s">
        <v>91</v>
      </c>
      <c r="C27" s="605"/>
      <c r="D27" s="605"/>
      <c r="E27" s="605"/>
      <c r="F27" s="605"/>
      <c r="G27" s="605"/>
      <c r="H27" s="605"/>
      <c r="I27" s="258">
        <f>SUM(I24:I26)</f>
        <v>10.95</v>
      </c>
      <c r="J27" s="320"/>
    </row>
    <row r="28" spans="2:10" ht="18.75" customHeight="1">
      <c r="B28" s="606"/>
      <c r="C28" s="607"/>
      <c r="D28" s="607"/>
      <c r="E28" s="607"/>
      <c r="F28" s="607"/>
      <c r="G28" s="607"/>
      <c r="H28" s="607"/>
      <c r="I28" s="608"/>
      <c r="J28" s="320"/>
    </row>
    <row r="29" spans="2:10" ht="18.75" customHeight="1">
      <c r="B29" s="599" t="s">
        <v>92</v>
      </c>
      <c r="C29" s="600"/>
      <c r="D29" s="600"/>
      <c r="E29" s="600"/>
      <c r="F29" s="600"/>
      <c r="G29" s="600"/>
      <c r="H29" s="600"/>
      <c r="I29" s="259">
        <f>I22+I27</f>
        <v>22.07</v>
      </c>
      <c r="J29" s="320"/>
    </row>
    <row r="30" spans="2:10" ht="18.75" customHeight="1">
      <c r="B30" s="599" t="s">
        <v>93</v>
      </c>
      <c r="C30" s="600"/>
      <c r="D30" s="600"/>
      <c r="E30" s="600"/>
      <c r="F30" s="600"/>
      <c r="G30" s="600"/>
      <c r="H30" s="600"/>
      <c r="I30" s="259">
        <f>ROUND(I22*$D$14,2)</f>
        <v>9.95</v>
      </c>
      <c r="J30" s="320"/>
    </row>
    <row r="31" spans="2:10" ht="18.75" customHeight="1">
      <c r="B31" s="601" t="s">
        <v>94</v>
      </c>
      <c r="C31" s="602"/>
      <c r="D31" s="602"/>
      <c r="E31" s="602"/>
      <c r="F31" s="602"/>
      <c r="G31" s="602"/>
      <c r="H31" s="602"/>
      <c r="I31" s="260">
        <f>I29+I30</f>
        <v>32.019999999999996</v>
      </c>
      <c r="J31" s="320"/>
    </row>
    <row r="32" spans="2:10" ht="18.75" customHeight="1">
      <c r="B32" s="458"/>
      <c r="C32" s="458"/>
      <c r="D32" s="458"/>
      <c r="E32" s="458"/>
      <c r="F32" s="458"/>
      <c r="G32" s="458"/>
      <c r="H32" s="458"/>
      <c r="I32" s="498"/>
      <c r="J32" s="320"/>
    </row>
    <row r="33" spans="2:10" ht="18.75" customHeight="1">
      <c r="B33" s="621" t="s">
        <v>429</v>
      </c>
      <c r="C33" s="622"/>
      <c r="D33" s="622"/>
      <c r="E33" s="622"/>
      <c r="F33" s="622"/>
      <c r="G33" s="622"/>
      <c r="H33" s="622"/>
      <c r="I33" s="623"/>
      <c r="J33" s="320"/>
    </row>
    <row r="34" spans="2:10" ht="18.75" customHeight="1">
      <c r="B34" s="642" t="s">
        <v>83</v>
      </c>
      <c r="C34" s="643"/>
      <c r="D34" s="249">
        <f>I49</f>
        <v>39.269999999999996</v>
      </c>
      <c r="E34" s="250"/>
      <c r="F34" s="250"/>
      <c r="G34" s="251"/>
      <c r="H34" s="251"/>
      <c r="I34" s="252" t="s">
        <v>413</v>
      </c>
      <c r="J34" s="320"/>
    </row>
    <row r="35" spans="2:10" ht="18.75" customHeight="1">
      <c r="B35" s="624"/>
      <c r="C35" s="625"/>
      <c r="D35" s="625"/>
      <c r="E35" s="625"/>
      <c r="F35" s="625"/>
      <c r="G35" s="625"/>
      <c r="H35" s="625"/>
      <c r="I35" s="626"/>
      <c r="J35" s="320"/>
    </row>
    <row r="36" spans="2:10" ht="18.75" customHeight="1">
      <c r="B36" s="253" t="s">
        <v>34</v>
      </c>
      <c r="C36" s="254" t="s">
        <v>84</v>
      </c>
      <c r="D36" s="254"/>
      <c r="E36" s="254"/>
      <c r="F36" s="254" t="s">
        <v>4</v>
      </c>
      <c r="G36" s="254" t="s">
        <v>85</v>
      </c>
      <c r="H36" s="254" t="s">
        <v>86</v>
      </c>
      <c r="I36" s="255" t="s">
        <v>87</v>
      </c>
      <c r="J36" s="320"/>
    </row>
    <row r="37" spans="2:10" ht="18.75" customHeight="1">
      <c r="B37" s="609" t="s">
        <v>88</v>
      </c>
      <c r="C37" s="610"/>
      <c r="D37" s="610"/>
      <c r="E37" s="610"/>
      <c r="F37" s="610"/>
      <c r="G37" s="610"/>
      <c r="H37" s="610"/>
      <c r="I37" s="611"/>
      <c r="J37" s="320"/>
    </row>
    <row r="38" spans="2:10" ht="18.75" customHeight="1">
      <c r="B38" s="455" t="s">
        <v>414</v>
      </c>
      <c r="C38" s="603" t="s">
        <v>415</v>
      </c>
      <c r="D38" s="603"/>
      <c r="E38" s="603"/>
      <c r="F38" s="456" t="s">
        <v>95</v>
      </c>
      <c r="G38" s="256">
        <v>0.5</v>
      </c>
      <c r="H38" s="256">
        <f>12.91/1.8946</f>
        <v>6.8141032407896125</v>
      </c>
      <c r="I38" s="257">
        <f>ROUND(G38*H38,2)</f>
        <v>3.41</v>
      </c>
      <c r="J38" s="320"/>
    </row>
    <row r="39" spans="2:10" ht="18.75" customHeight="1">
      <c r="B39" s="455" t="s">
        <v>416</v>
      </c>
      <c r="C39" s="603" t="s">
        <v>417</v>
      </c>
      <c r="D39" s="603"/>
      <c r="E39" s="603"/>
      <c r="F39" s="456" t="s">
        <v>95</v>
      </c>
      <c r="G39" s="256">
        <v>0.5</v>
      </c>
      <c r="H39" s="256">
        <f>10.57/1.8946</f>
        <v>5.579014039902882</v>
      </c>
      <c r="I39" s="257">
        <f>ROUND(G39*H39,2)</f>
        <v>2.79</v>
      </c>
      <c r="J39" s="320"/>
    </row>
    <row r="40" spans="2:10" ht="18.75" customHeight="1">
      <c r="B40" s="604" t="s">
        <v>89</v>
      </c>
      <c r="C40" s="605"/>
      <c r="D40" s="605"/>
      <c r="E40" s="605"/>
      <c r="F40" s="605"/>
      <c r="G40" s="605"/>
      <c r="H40" s="605"/>
      <c r="I40" s="258">
        <f>SUM(I38:I39)</f>
        <v>6.2</v>
      </c>
      <c r="J40" s="320"/>
    </row>
    <row r="41" spans="2:10" ht="18.75" customHeight="1">
      <c r="B41" s="609" t="s">
        <v>90</v>
      </c>
      <c r="C41" s="610"/>
      <c r="D41" s="610"/>
      <c r="E41" s="610"/>
      <c r="F41" s="610"/>
      <c r="G41" s="610"/>
      <c r="H41" s="610"/>
      <c r="I41" s="611"/>
      <c r="J41" s="320"/>
    </row>
    <row r="42" spans="2:10" ht="18.75" customHeight="1">
      <c r="B42" s="455" t="s">
        <v>423</v>
      </c>
      <c r="C42" s="603" t="s">
        <v>424</v>
      </c>
      <c r="D42" s="603"/>
      <c r="E42" s="603"/>
      <c r="F42" s="456" t="s">
        <v>96</v>
      </c>
      <c r="G42" s="256">
        <v>1</v>
      </c>
      <c r="H42" s="256">
        <v>12.25</v>
      </c>
      <c r="I42" s="257">
        <f>ROUND(G42*H42,2)</f>
        <v>12.25</v>
      </c>
      <c r="J42" s="320"/>
    </row>
    <row r="43" spans="2:10" ht="18.75" customHeight="1">
      <c r="B43" s="455" t="s">
        <v>425</v>
      </c>
      <c r="C43" s="457" t="s">
        <v>426</v>
      </c>
      <c r="D43" s="457"/>
      <c r="E43" s="457"/>
      <c r="F43" s="456"/>
      <c r="G43" s="256">
        <v>1</v>
      </c>
      <c r="H43" s="256">
        <v>15.2</v>
      </c>
      <c r="I43" s="257">
        <f>ROUND(G43*H43,2)</f>
        <v>15.2</v>
      </c>
      <c r="J43" s="320"/>
    </row>
    <row r="44" spans="2:10" ht="18.75" customHeight="1">
      <c r="B44" s="455" t="s">
        <v>427</v>
      </c>
      <c r="C44" s="603" t="s">
        <v>428</v>
      </c>
      <c r="D44" s="603"/>
      <c r="E44" s="603"/>
      <c r="F44" s="456" t="s">
        <v>96</v>
      </c>
      <c r="G44" s="256">
        <v>0.06</v>
      </c>
      <c r="H44" s="256">
        <v>1.18</v>
      </c>
      <c r="I44" s="257">
        <f>ROUND(G44*H44,2)</f>
        <v>0.07</v>
      </c>
      <c r="J44" s="320"/>
    </row>
    <row r="45" spans="2:10" ht="18.75" customHeight="1">
      <c r="B45" s="604" t="s">
        <v>91</v>
      </c>
      <c r="C45" s="605"/>
      <c r="D45" s="605"/>
      <c r="E45" s="605"/>
      <c r="F45" s="605"/>
      <c r="G45" s="605"/>
      <c r="H45" s="605"/>
      <c r="I45" s="258">
        <f>SUM(I42:I44)</f>
        <v>27.52</v>
      </c>
      <c r="J45" s="320"/>
    </row>
    <row r="46" spans="2:10" ht="18.75" customHeight="1">
      <c r="B46" s="606"/>
      <c r="C46" s="607"/>
      <c r="D46" s="607"/>
      <c r="E46" s="607"/>
      <c r="F46" s="607"/>
      <c r="G46" s="607"/>
      <c r="H46" s="607"/>
      <c r="I46" s="608"/>
      <c r="J46" s="320"/>
    </row>
    <row r="47" spans="2:10" ht="18.75" customHeight="1">
      <c r="B47" s="599" t="s">
        <v>92</v>
      </c>
      <c r="C47" s="600"/>
      <c r="D47" s="600"/>
      <c r="E47" s="600"/>
      <c r="F47" s="600"/>
      <c r="G47" s="600"/>
      <c r="H47" s="600"/>
      <c r="I47" s="259">
        <f>I40+I45</f>
        <v>33.72</v>
      </c>
      <c r="J47" s="320"/>
    </row>
    <row r="48" spans="2:10" ht="18.75" customHeight="1">
      <c r="B48" s="599" t="s">
        <v>93</v>
      </c>
      <c r="C48" s="600"/>
      <c r="D48" s="600"/>
      <c r="E48" s="600"/>
      <c r="F48" s="600"/>
      <c r="G48" s="600"/>
      <c r="H48" s="600"/>
      <c r="I48" s="259">
        <f>ROUND(I40*$D$14,2)</f>
        <v>5.55</v>
      </c>
      <c r="J48" s="320"/>
    </row>
    <row r="49" spans="2:10" ht="18.75" customHeight="1">
      <c r="B49" s="601" t="s">
        <v>94</v>
      </c>
      <c r="C49" s="602"/>
      <c r="D49" s="602"/>
      <c r="E49" s="602"/>
      <c r="F49" s="602"/>
      <c r="G49" s="602"/>
      <c r="H49" s="602"/>
      <c r="I49" s="260">
        <f>I47+I48</f>
        <v>39.269999999999996</v>
      </c>
      <c r="J49" s="320"/>
    </row>
    <row r="50" spans="2:10" ht="18.75" customHeight="1">
      <c r="B50" s="448"/>
      <c r="C50" s="448"/>
      <c r="D50" s="448"/>
      <c r="E50" s="448"/>
      <c r="F50" s="448"/>
      <c r="G50" s="448"/>
      <c r="H50" s="448"/>
      <c r="I50" s="449"/>
      <c r="J50" s="320"/>
    </row>
    <row r="51" spans="2:10" ht="18.75" customHeight="1">
      <c r="B51" s="621" t="s">
        <v>412</v>
      </c>
      <c r="C51" s="622"/>
      <c r="D51" s="622"/>
      <c r="E51" s="622"/>
      <c r="F51" s="622"/>
      <c r="G51" s="622"/>
      <c r="H51" s="622"/>
      <c r="I51" s="623"/>
      <c r="J51" s="320"/>
    </row>
    <row r="52" spans="2:10" ht="18.75" customHeight="1">
      <c r="B52" s="462" t="s">
        <v>83</v>
      </c>
      <c r="C52" s="463"/>
      <c r="D52" s="249">
        <f>I66</f>
        <v>62.13999999999999</v>
      </c>
      <c r="E52" s="250"/>
      <c r="F52" s="250"/>
      <c r="G52" s="251"/>
      <c r="H52" s="251"/>
      <c r="I52" s="252" t="s">
        <v>413</v>
      </c>
      <c r="J52" s="320"/>
    </row>
    <row r="53" spans="2:10" ht="18.75" customHeight="1">
      <c r="B53" s="624"/>
      <c r="C53" s="625"/>
      <c r="D53" s="625"/>
      <c r="E53" s="625"/>
      <c r="F53" s="625"/>
      <c r="G53" s="625"/>
      <c r="H53" s="625"/>
      <c r="I53" s="626"/>
      <c r="J53" s="320"/>
    </row>
    <row r="54" spans="2:10" ht="18.75" customHeight="1">
      <c r="B54" s="253" t="s">
        <v>34</v>
      </c>
      <c r="C54" s="254" t="s">
        <v>84</v>
      </c>
      <c r="D54" s="254"/>
      <c r="E54" s="254"/>
      <c r="F54" s="254" t="s">
        <v>4</v>
      </c>
      <c r="G54" s="254" t="s">
        <v>85</v>
      </c>
      <c r="H54" s="254" t="s">
        <v>86</v>
      </c>
      <c r="I54" s="255" t="s">
        <v>87</v>
      </c>
      <c r="J54" s="320"/>
    </row>
    <row r="55" spans="2:10" ht="18.75" customHeight="1">
      <c r="B55" s="609" t="s">
        <v>88</v>
      </c>
      <c r="C55" s="610"/>
      <c r="D55" s="610"/>
      <c r="E55" s="610"/>
      <c r="F55" s="610"/>
      <c r="G55" s="610"/>
      <c r="H55" s="610"/>
      <c r="I55" s="611"/>
      <c r="J55" s="320"/>
    </row>
    <row r="56" spans="2:10" ht="18.75" customHeight="1">
      <c r="B56" s="455" t="s">
        <v>414</v>
      </c>
      <c r="C56" s="457" t="s">
        <v>415</v>
      </c>
      <c r="D56" s="457"/>
      <c r="E56" s="457"/>
      <c r="F56" s="456" t="s">
        <v>95</v>
      </c>
      <c r="G56" s="256">
        <v>0.8</v>
      </c>
      <c r="H56" s="256">
        <f>12.91/1.8946</f>
        <v>6.8141032407896125</v>
      </c>
      <c r="I56" s="257">
        <f>ROUND(G56*H56,2)</f>
        <v>5.45</v>
      </c>
      <c r="J56" s="320"/>
    </row>
    <row r="57" spans="2:10" ht="18.75" customHeight="1">
      <c r="B57" s="455" t="s">
        <v>416</v>
      </c>
      <c r="C57" s="603" t="s">
        <v>417</v>
      </c>
      <c r="D57" s="603"/>
      <c r="E57" s="603"/>
      <c r="F57" s="456" t="s">
        <v>95</v>
      </c>
      <c r="G57" s="256">
        <v>0.8</v>
      </c>
      <c r="H57" s="256">
        <f>10.57/1.8946</f>
        <v>5.579014039902882</v>
      </c>
      <c r="I57" s="257">
        <f>ROUND(G57*H57,2)</f>
        <v>4.46</v>
      </c>
      <c r="J57" s="320"/>
    </row>
    <row r="58" spans="2:10" ht="18.75" customHeight="1">
      <c r="B58" s="604" t="s">
        <v>89</v>
      </c>
      <c r="C58" s="605"/>
      <c r="D58" s="605"/>
      <c r="E58" s="605"/>
      <c r="F58" s="605"/>
      <c r="G58" s="605"/>
      <c r="H58" s="605"/>
      <c r="I58" s="258">
        <f>SUM(I56:I57)</f>
        <v>9.91</v>
      </c>
      <c r="J58" s="320"/>
    </row>
    <row r="59" spans="2:10" ht="18.75" customHeight="1">
      <c r="B59" s="609" t="s">
        <v>90</v>
      </c>
      <c r="C59" s="610"/>
      <c r="D59" s="610"/>
      <c r="E59" s="610"/>
      <c r="F59" s="610"/>
      <c r="G59" s="610"/>
      <c r="H59" s="610"/>
      <c r="I59" s="611"/>
      <c r="J59" s="320"/>
    </row>
    <row r="60" spans="2:10" ht="18.75" customHeight="1">
      <c r="B60" s="455" t="s">
        <v>418</v>
      </c>
      <c r="C60" s="457" t="s">
        <v>419</v>
      </c>
      <c r="D60" s="457"/>
      <c r="E60" s="457"/>
      <c r="F60" s="456" t="s">
        <v>96</v>
      </c>
      <c r="G60" s="256">
        <v>1</v>
      </c>
      <c r="H60" s="256">
        <v>28.16</v>
      </c>
      <c r="I60" s="257">
        <f>ROUND(G60*H60,2)</f>
        <v>28.16</v>
      </c>
      <c r="J60" s="320"/>
    </row>
    <row r="61" spans="2:10" ht="18.75" customHeight="1">
      <c r="B61" s="455" t="s">
        <v>420</v>
      </c>
      <c r="C61" s="457" t="s">
        <v>421</v>
      </c>
      <c r="D61" s="457"/>
      <c r="E61" s="457"/>
      <c r="F61" s="456" t="s">
        <v>96</v>
      </c>
      <c r="G61" s="256">
        <v>1</v>
      </c>
      <c r="H61" s="256">
        <v>15.2</v>
      </c>
      <c r="I61" s="257">
        <f>ROUND(G61*H61,2)</f>
        <v>15.2</v>
      </c>
      <c r="J61" s="320"/>
    </row>
    <row r="62" spans="2:10" ht="18.75" customHeight="1">
      <c r="B62" s="604" t="s">
        <v>91</v>
      </c>
      <c r="C62" s="605"/>
      <c r="D62" s="605"/>
      <c r="E62" s="605"/>
      <c r="F62" s="605"/>
      <c r="G62" s="605"/>
      <c r="H62" s="605"/>
      <c r="I62" s="258">
        <f>SUM(I60:I61)</f>
        <v>43.36</v>
      </c>
      <c r="J62" s="320"/>
    </row>
    <row r="63" spans="2:10" ht="18.75" customHeight="1">
      <c r="B63" s="459"/>
      <c r="C63" s="460"/>
      <c r="D63" s="460"/>
      <c r="E63" s="460"/>
      <c r="F63" s="460"/>
      <c r="G63" s="460"/>
      <c r="H63" s="460"/>
      <c r="I63" s="461"/>
      <c r="J63" s="320"/>
    </row>
    <row r="64" spans="2:10" ht="18.75" customHeight="1">
      <c r="B64" s="644" t="s">
        <v>92</v>
      </c>
      <c r="C64" s="645"/>
      <c r="D64" s="645"/>
      <c r="E64" s="645"/>
      <c r="F64" s="645"/>
      <c r="G64" s="645"/>
      <c r="H64" s="645"/>
      <c r="I64" s="259">
        <f>I58+I62</f>
        <v>53.269999999999996</v>
      </c>
      <c r="J64" s="320"/>
    </row>
    <row r="65" spans="2:10" ht="18.75" customHeight="1">
      <c r="B65" s="644" t="s">
        <v>93</v>
      </c>
      <c r="C65" s="645"/>
      <c r="D65" s="645"/>
      <c r="E65" s="645"/>
      <c r="F65" s="645"/>
      <c r="G65" s="645"/>
      <c r="H65" s="645"/>
      <c r="I65" s="259">
        <f>ROUND(I58:J58*$D$14,2)</f>
        <v>8.87</v>
      </c>
      <c r="J65" s="320"/>
    </row>
    <row r="66" spans="2:9" ht="18" customHeight="1">
      <c r="B66" s="646" t="s">
        <v>94</v>
      </c>
      <c r="C66" s="647"/>
      <c r="D66" s="647"/>
      <c r="E66" s="647"/>
      <c r="F66" s="647"/>
      <c r="G66" s="647"/>
      <c r="H66" s="647"/>
      <c r="I66" s="260">
        <f>I64+I65</f>
        <v>62.13999999999999</v>
      </c>
    </row>
    <row r="67" spans="2:5" ht="18" customHeight="1">
      <c r="B67" s="261"/>
      <c r="C67" s="247"/>
      <c r="E67" s="263"/>
    </row>
    <row r="68" spans="2:9" ht="18" customHeight="1">
      <c r="B68" s="427"/>
      <c r="C68" s="428"/>
      <c r="D68" s="428"/>
      <c r="E68" s="428"/>
      <c r="F68" s="428"/>
      <c r="G68" s="428"/>
      <c r="H68" s="428"/>
      <c r="I68" s="429"/>
    </row>
    <row r="69" spans="2:7" ht="18" customHeight="1">
      <c r="B69" s="239"/>
      <c r="D69" s="239"/>
      <c r="E69" s="239"/>
      <c r="F69" s="239"/>
      <c r="G69" s="239"/>
    </row>
    <row r="70" spans="2:7" ht="18" customHeight="1">
      <c r="B70" s="239"/>
      <c r="D70" s="239"/>
      <c r="E70" s="239"/>
      <c r="F70" s="239"/>
      <c r="G70" s="239"/>
    </row>
    <row r="71" spans="2:7" ht="18" customHeight="1">
      <c r="B71" s="239"/>
      <c r="D71" s="239"/>
      <c r="E71" s="239"/>
      <c r="F71" s="239"/>
      <c r="G71" s="239"/>
    </row>
    <row r="72" spans="2:7" ht="18" customHeight="1">
      <c r="B72" s="239"/>
      <c r="D72" s="239"/>
      <c r="E72" s="239"/>
      <c r="F72" s="239"/>
      <c r="G72" s="239"/>
    </row>
    <row r="73" spans="2:7" ht="18" customHeight="1">
      <c r="B73" s="239"/>
      <c r="D73" s="239"/>
      <c r="E73" s="239"/>
      <c r="F73" s="239"/>
      <c r="G73" s="239"/>
    </row>
    <row r="74" spans="2:7" ht="18" customHeight="1">
      <c r="B74" s="239"/>
      <c r="D74" s="239"/>
      <c r="E74" s="239"/>
      <c r="F74" s="239"/>
      <c r="G74" s="239"/>
    </row>
    <row r="75" spans="2:7" ht="18" customHeight="1">
      <c r="B75" s="239"/>
      <c r="D75" s="239"/>
      <c r="E75" s="239"/>
      <c r="F75" s="239"/>
      <c r="G75" s="239"/>
    </row>
    <row r="76" spans="2:7" ht="18" customHeight="1">
      <c r="B76" s="239"/>
      <c r="D76" s="239"/>
      <c r="E76" s="239"/>
      <c r="F76" s="239"/>
      <c r="G76" s="239"/>
    </row>
    <row r="77" spans="2:7" ht="18" customHeight="1">
      <c r="B77" s="239"/>
      <c r="D77" s="239"/>
      <c r="E77" s="239"/>
      <c r="F77" s="239"/>
      <c r="G77" s="239"/>
    </row>
    <row r="78" spans="2:7" ht="18" customHeight="1">
      <c r="B78" s="239"/>
      <c r="D78" s="239"/>
      <c r="E78" s="239"/>
      <c r="F78" s="239"/>
      <c r="G78" s="239"/>
    </row>
    <row r="79" spans="2:7" ht="18" customHeight="1">
      <c r="B79" s="239"/>
      <c r="D79" s="239"/>
      <c r="E79" s="239"/>
      <c r="F79" s="239"/>
      <c r="G79" s="239"/>
    </row>
    <row r="80" spans="2:7" ht="18" customHeight="1">
      <c r="B80" s="239"/>
      <c r="D80" s="239"/>
      <c r="E80" s="239"/>
      <c r="F80" s="239"/>
      <c r="G80" s="239"/>
    </row>
    <row r="81" spans="2:7" ht="18" customHeight="1">
      <c r="B81" s="239"/>
      <c r="D81" s="239"/>
      <c r="E81" s="239"/>
      <c r="F81" s="239"/>
      <c r="G81" s="239"/>
    </row>
    <row r="82" spans="2:7" ht="18" customHeight="1">
      <c r="B82" s="239"/>
      <c r="D82" s="239"/>
      <c r="E82" s="239"/>
      <c r="F82" s="239"/>
      <c r="G82" s="239"/>
    </row>
    <row r="83" spans="2:7" ht="18" customHeight="1">
      <c r="B83" s="239"/>
      <c r="D83" s="239"/>
      <c r="E83" s="239"/>
      <c r="F83" s="239"/>
      <c r="G83" s="239"/>
    </row>
    <row r="84" spans="2:7" ht="18" customHeight="1">
      <c r="B84" s="239"/>
      <c r="D84" s="239"/>
      <c r="E84" s="239"/>
      <c r="F84" s="239"/>
      <c r="G84" s="239"/>
    </row>
    <row r="85" spans="2:7" ht="18" customHeight="1">
      <c r="B85" s="239"/>
      <c r="D85" s="239"/>
      <c r="E85" s="239"/>
      <c r="F85" s="239"/>
      <c r="G85" s="239"/>
    </row>
    <row r="86" spans="2:5" ht="18" customHeight="1">
      <c r="B86" s="261"/>
      <c r="C86" s="247"/>
      <c r="E86" s="263"/>
    </row>
    <row r="87" spans="2:5" ht="18" customHeight="1">
      <c r="B87" s="261"/>
      <c r="C87" s="247"/>
      <c r="E87" s="263"/>
    </row>
    <row r="88" spans="2:5" ht="18" customHeight="1">
      <c r="B88" s="261"/>
      <c r="C88" s="247"/>
      <c r="E88" s="263"/>
    </row>
    <row r="89" spans="2:5" ht="18" customHeight="1">
      <c r="B89" s="261"/>
      <c r="C89" s="247"/>
      <c r="E89" s="263"/>
    </row>
    <row r="90" spans="2:5" ht="18" customHeight="1">
      <c r="B90" s="261"/>
      <c r="C90" s="247"/>
      <c r="E90" s="263"/>
    </row>
  </sheetData>
  <sheetProtection/>
  <mergeCells count="60">
    <mergeCell ref="B55:I55"/>
    <mergeCell ref="B59:I59"/>
    <mergeCell ref="B62:H62"/>
    <mergeCell ref="B64:H64"/>
    <mergeCell ref="B65:H65"/>
    <mergeCell ref="B66:H66"/>
    <mergeCell ref="B33:G33"/>
    <mergeCell ref="H33:I33"/>
    <mergeCell ref="B34:C34"/>
    <mergeCell ref="C39:E39"/>
    <mergeCell ref="B40:H40"/>
    <mergeCell ref="B41:G41"/>
    <mergeCell ref="H41:I41"/>
    <mergeCell ref="H37:I37"/>
    <mergeCell ref="C42:E42"/>
    <mergeCell ref="C44:E44"/>
    <mergeCell ref="B46:G46"/>
    <mergeCell ref="H46:I46"/>
    <mergeCell ref="B47:H47"/>
    <mergeCell ref="B48:H48"/>
    <mergeCell ref="B49:H49"/>
    <mergeCell ref="C57:E57"/>
    <mergeCell ref="B51:I51"/>
    <mergeCell ref="B53:I53"/>
    <mergeCell ref="B14:C14"/>
    <mergeCell ref="D14:E14"/>
    <mergeCell ref="F14:G14"/>
    <mergeCell ref="H14:I14"/>
    <mergeCell ref="B35:I35"/>
    <mergeCell ref="B37:G37"/>
    <mergeCell ref="B2:C7"/>
    <mergeCell ref="D2:J3"/>
    <mergeCell ref="D4:J5"/>
    <mergeCell ref="D6:J7"/>
    <mergeCell ref="B9:E9"/>
    <mergeCell ref="F9:J9"/>
    <mergeCell ref="B10:E10"/>
    <mergeCell ref="F10:I10"/>
    <mergeCell ref="B12:I12"/>
    <mergeCell ref="C38:E38"/>
    <mergeCell ref="B45:H45"/>
    <mergeCell ref="B58:H58"/>
    <mergeCell ref="B15:I15"/>
    <mergeCell ref="B17:I17"/>
    <mergeCell ref="B19:G19"/>
    <mergeCell ref="H19:I19"/>
    <mergeCell ref="C20:E20"/>
    <mergeCell ref="C21:E21"/>
    <mergeCell ref="B22:H22"/>
    <mergeCell ref="B23:G23"/>
    <mergeCell ref="H23:I23"/>
    <mergeCell ref="C24:E24"/>
    <mergeCell ref="B30:H30"/>
    <mergeCell ref="B31:H31"/>
    <mergeCell ref="C25:E25"/>
    <mergeCell ref="C26:E26"/>
    <mergeCell ref="B27:H27"/>
    <mergeCell ref="B28:G28"/>
    <mergeCell ref="H28:I28"/>
    <mergeCell ref="B29:H29"/>
  </mergeCells>
  <printOptions gridLines="1" horizontalCentered="1"/>
  <pageMargins left="0.4330708661417323" right="0" top="0.7086614173228347" bottom="0.68" header="0" footer="0.3937007874015748"/>
  <pageSetup horizontalDpi="1200" verticalDpi="1200" orientation="portrait" paperSize="9" scale="57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21"/>
  <sheetViews>
    <sheetView view="pageBreakPreview" zoomScale="136" zoomScaleNormal="89" zoomScaleSheetLayoutView="136" zoomScalePageLayoutView="0" workbookViewId="0" topLeftCell="A37">
      <selection activeCell="B10" sqref="B10:C10"/>
    </sheetView>
  </sheetViews>
  <sheetFormatPr defaultColWidth="9.140625" defaultRowHeight="15"/>
  <cols>
    <col min="2" max="2" width="39.00390625" style="0" customWidth="1"/>
    <col min="3" max="3" width="18.140625" style="0" customWidth="1"/>
    <col min="5" max="5" width="19.00390625" style="0" customWidth="1"/>
    <col min="7" max="7" width="16.57421875" style="0" customWidth="1"/>
  </cols>
  <sheetData>
    <row r="3" spans="2:12" ht="15" customHeight="1">
      <c r="B3" s="30"/>
      <c r="C3" s="31"/>
      <c r="D3" s="665" t="s">
        <v>40</v>
      </c>
      <c r="E3" s="595"/>
      <c r="F3" s="595"/>
      <c r="G3" s="596"/>
      <c r="H3" s="139"/>
      <c r="I3" s="139"/>
      <c r="J3" s="139"/>
      <c r="K3" s="139"/>
      <c r="L3" s="139"/>
    </row>
    <row r="4" spans="2:12" ht="15" customHeight="1">
      <c r="B4" s="32"/>
      <c r="C4" s="33"/>
      <c r="D4" s="666"/>
      <c r="E4" s="667"/>
      <c r="F4" s="667"/>
      <c r="G4" s="668"/>
      <c r="H4" s="139"/>
      <c r="I4" s="139"/>
      <c r="J4" s="139"/>
      <c r="K4" s="139"/>
      <c r="L4" s="139"/>
    </row>
    <row r="5" spans="2:12" ht="15" customHeight="1">
      <c r="B5" s="32"/>
      <c r="C5" s="33"/>
      <c r="D5" s="669" t="s">
        <v>41</v>
      </c>
      <c r="E5" s="670"/>
      <c r="F5" s="670"/>
      <c r="G5" s="671"/>
      <c r="H5" s="667"/>
      <c r="I5" s="667"/>
      <c r="J5" s="667"/>
      <c r="K5" s="667"/>
      <c r="L5" s="667"/>
    </row>
    <row r="6" spans="2:12" ht="15" customHeight="1">
      <c r="B6" s="32"/>
      <c r="C6" s="33"/>
      <c r="D6" s="672"/>
      <c r="E6" s="673"/>
      <c r="F6" s="673"/>
      <c r="G6" s="674"/>
      <c r="H6" s="667"/>
      <c r="I6" s="667"/>
      <c r="J6" s="667"/>
      <c r="K6" s="667"/>
      <c r="L6" s="667"/>
    </row>
    <row r="7" spans="2:12" ht="15" customHeight="1">
      <c r="B7" s="32"/>
      <c r="C7" s="33"/>
      <c r="D7" s="675" t="s">
        <v>28</v>
      </c>
      <c r="E7" s="676"/>
      <c r="F7" s="676"/>
      <c r="G7" s="677"/>
      <c r="H7" s="667"/>
      <c r="I7" s="667"/>
      <c r="J7" s="667"/>
      <c r="K7" s="667"/>
      <c r="L7" s="667"/>
    </row>
    <row r="8" spans="2:12" ht="15" customHeight="1">
      <c r="B8" s="34"/>
      <c r="C8" s="35"/>
      <c r="D8" s="678"/>
      <c r="E8" s="679"/>
      <c r="F8" s="679"/>
      <c r="G8" s="680"/>
      <c r="H8" s="667"/>
      <c r="I8" s="667"/>
      <c r="J8" s="667"/>
      <c r="K8" s="667"/>
      <c r="L8" s="667"/>
    </row>
    <row r="9" spans="2:12" ht="4.5" customHeight="1">
      <c r="B9" s="11"/>
      <c r="C9" s="12"/>
      <c r="D9" s="12"/>
      <c r="E9" s="12"/>
      <c r="F9" s="11"/>
      <c r="G9" s="17"/>
      <c r="H9" s="23"/>
      <c r="I9" s="17"/>
      <c r="J9" s="17"/>
      <c r="K9" s="15"/>
      <c r="L9" s="13"/>
    </row>
    <row r="10" spans="2:12" ht="18" customHeight="1">
      <c r="B10" s="652" t="s">
        <v>465</v>
      </c>
      <c r="C10" s="653"/>
      <c r="D10" s="654" t="s">
        <v>466</v>
      </c>
      <c r="E10" s="655"/>
      <c r="F10" s="655"/>
      <c r="G10" s="655"/>
      <c r="H10" s="140"/>
      <c r="I10" s="140"/>
      <c r="J10" s="140"/>
      <c r="K10" s="140"/>
      <c r="L10" s="140"/>
    </row>
    <row r="11" spans="2:12" ht="18" customHeight="1">
      <c r="B11" s="652" t="s">
        <v>469</v>
      </c>
      <c r="C11" s="653"/>
      <c r="D11" s="656" t="s">
        <v>467</v>
      </c>
      <c r="E11" s="656"/>
      <c r="F11" s="656"/>
      <c r="G11" s="656"/>
      <c r="H11" s="141"/>
      <c r="I11" s="141"/>
      <c r="J11" s="141"/>
      <c r="K11" s="141"/>
      <c r="L11" s="141"/>
    </row>
    <row r="12" spans="2:12" ht="4.5" customHeight="1" thickBot="1">
      <c r="B12" s="518"/>
      <c r="C12" s="519"/>
      <c r="D12" s="155"/>
      <c r="E12" s="155"/>
      <c r="F12" s="154"/>
      <c r="G12" s="142"/>
      <c r="H12" s="24"/>
      <c r="I12" s="142"/>
      <c r="J12" s="142"/>
      <c r="K12" s="143"/>
      <c r="L12" s="144"/>
    </row>
    <row r="13" spans="2:12" ht="18.75" thickBot="1">
      <c r="B13" s="657" t="s">
        <v>59</v>
      </c>
      <c r="C13" s="658"/>
      <c r="D13" s="658"/>
      <c r="E13" s="658"/>
      <c r="F13" s="658"/>
      <c r="G13" s="659"/>
      <c r="H13" s="145"/>
      <c r="I13" s="145"/>
      <c r="J13" s="145"/>
      <c r="K13" s="145"/>
      <c r="L13" s="145"/>
    </row>
    <row r="14" spans="2:12" ht="4.5" customHeight="1" thickBot="1">
      <c r="B14" s="3"/>
      <c r="C14" s="1"/>
      <c r="D14" s="1"/>
      <c r="E14" s="1"/>
      <c r="F14" s="2"/>
      <c r="G14" s="18"/>
      <c r="H14" s="25"/>
      <c r="I14" s="18"/>
      <c r="J14" s="18"/>
      <c r="K14" s="16"/>
      <c r="L14" s="14"/>
    </row>
    <row r="15" spans="1:24" ht="16.5" customHeight="1" thickBot="1">
      <c r="A15" s="129"/>
      <c r="B15" s="660" t="s">
        <v>60</v>
      </c>
      <c r="C15" s="661"/>
      <c r="D15" s="662" t="s">
        <v>53</v>
      </c>
      <c r="E15" s="663"/>
      <c r="F15" s="663"/>
      <c r="G15" s="66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16.5" thickBot="1">
      <c r="A16" s="129"/>
      <c r="B16" s="681" t="s">
        <v>61</v>
      </c>
      <c r="C16" s="682"/>
      <c r="D16" s="649">
        <v>7.3</v>
      </c>
      <c r="E16" s="650"/>
      <c r="F16" s="650"/>
      <c r="G16" s="651"/>
      <c r="H16" s="130">
        <f aca="true" t="shared" si="0" ref="H16:H23">D16/100</f>
        <v>0.073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16.5" thickBot="1">
      <c r="A17" s="129"/>
      <c r="B17" s="681" t="s">
        <v>62</v>
      </c>
      <c r="C17" s="682"/>
      <c r="D17" s="649">
        <v>3</v>
      </c>
      <c r="E17" s="650"/>
      <c r="F17" s="650"/>
      <c r="G17" s="651"/>
      <c r="H17" s="130">
        <f t="shared" si="0"/>
        <v>0.03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1:24" ht="16.5" thickBot="1">
      <c r="A18" s="129"/>
      <c r="B18" s="681" t="s">
        <v>63</v>
      </c>
      <c r="C18" s="682"/>
      <c r="D18" s="649">
        <v>1.23</v>
      </c>
      <c r="E18" s="650"/>
      <c r="F18" s="650"/>
      <c r="G18" s="651"/>
      <c r="H18" s="130">
        <f t="shared" si="0"/>
        <v>0.0123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ht="16.5" thickBot="1">
      <c r="A19" s="129"/>
      <c r="B19" s="681" t="s">
        <v>52</v>
      </c>
      <c r="C19" s="682"/>
      <c r="D19" s="649">
        <v>3</v>
      </c>
      <c r="E19" s="650"/>
      <c r="F19" s="650"/>
      <c r="G19" s="651"/>
      <c r="H19" s="130">
        <f t="shared" si="0"/>
        <v>0.03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ht="16.5" thickBot="1">
      <c r="A20" s="129"/>
      <c r="B20" s="681" t="s">
        <v>51</v>
      </c>
      <c r="C20" s="682"/>
      <c r="D20" s="649">
        <v>0.65</v>
      </c>
      <c r="E20" s="650"/>
      <c r="F20" s="650"/>
      <c r="G20" s="651"/>
      <c r="H20" s="130">
        <f t="shared" si="0"/>
        <v>0.006500000000000001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ht="16.5" thickBot="1">
      <c r="A21" s="129"/>
      <c r="B21" s="681" t="s">
        <v>64</v>
      </c>
      <c r="C21" s="682"/>
      <c r="D21" s="649">
        <v>2</v>
      </c>
      <c r="E21" s="650"/>
      <c r="F21" s="650"/>
      <c r="G21" s="651"/>
      <c r="H21" s="130">
        <f t="shared" si="0"/>
        <v>0.02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ht="16.5" thickBot="1">
      <c r="A22" s="129"/>
      <c r="B22" s="681" t="s">
        <v>65</v>
      </c>
      <c r="C22" s="682"/>
      <c r="D22" s="649">
        <v>3</v>
      </c>
      <c r="E22" s="650"/>
      <c r="F22" s="650"/>
      <c r="G22" s="651"/>
      <c r="H22" s="130">
        <f t="shared" si="0"/>
        <v>0.03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ht="16.5" thickBot="1">
      <c r="A23" s="129"/>
      <c r="B23" s="681" t="s">
        <v>66</v>
      </c>
      <c r="C23" s="682"/>
      <c r="D23" s="649">
        <f>0.8+1.27</f>
        <v>2.0700000000000003</v>
      </c>
      <c r="E23" s="650"/>
      <c r="F23" s="650"/>
      <c r="G23" s="651"/>
      <c r="H23" s="130">
        <f t="shared" si="0"/>
        <v>0.020700000000000003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15.75">
      <c r="A24" s="129"/>
      <c r="B24" s="131"/>
      <c r="C24" s="132"/>
      <c r="D24" s="146"/>
      <c r="E24" s="61"/>
      <c r="F24" s="61"/>
      <c r="G24" s="61"/>
      <c r="H24" s="133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15.75">
      <c r="A25" s="129"/>
      <c r="B25" s="131"/>
      <c r="C25" s="648"/>
      <c r="D25" s="648"/>
      <c r="E25" s="648"/>
      <c r="F25" s="61"/>
      <c r="G25" s="61"/>
      <c r="H25" s="133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15.75">
      <c r="A26" s="129"/>
      <c r="B26" s="131"/>
      <c r="C26" s="132"/>
      <c r="D26" s="146"/>
      <c r="E26" s="61"/>
      <c r="F26" s="61"/>
      <c r="G26" s="61"/>
      <c r="H26" s="133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1:24" ht="15.75">
      <c r="A27" s="129"/>
      <c r="B27" s="131"/>
      <c r="C27" s="132"/>
      <c r="D27" s="146"/>
      <c r="E27" s="61"/>
      <c r="F27" s="61"/>
      <c r="G27" s="61"/>
      <c r="H27" s="133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15">
      <c r="A28" s="129"/>
      <c r="B28" s="134"/>
      <c r="C28" s="135"/>
      <c r="D28" s="146"/>
      <c r="E28" s="61"/>
      <c r="F28" s="61"/>
      <c r="G28" s="61"/>
      <c r="H28" s="133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ht="15">
      <c r="A29" s="129"/>
      <c r="B29" s="134"/>
      <c r="C29" s="135"/>
      <c r="D29" s="146"/>
      <c r="E29" s="61"/>
      <c r="F29" s="61"/>
      <c r="G29" s="61"/>
      <c r="H29" s="133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ht="18.75">
      <c r="A30" s="129"/>
      <c r="B30" s="134"/>
      <c r="C30" s="135"/>
      <c r="D30" s="146"/>
      <c r="E30" s="61"/>
      <c r="F30" s="61"/>
      <c r="G30" s="61"/>
      <c r="H30" s="136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ht="18.75">
      <c r="A31" s="129"/>
      <c r="B31" s="137"/>
      <c r="C31" s="138"/>
      <c r="D31" s="61"/>
      <c r="E31" s="61"/>
      <c r="F31" s="61"/>
      <c r="G31" s="61"/>
      <c r="H31" s="136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18.75">
      <c r="A32" s="129"/>
      <c r="B32" s="137"/>
      <c r="C32" s="138"/>
      <c r="D32" s="61"/>
      <c r="E32" s="61"/>
      <c r="F32" s="61"/>
      <c r="G32" s="61"/>
      <c r="H32" s="136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18.75">
      <c r="A33" s="129"/>
      <c r="B33" s="137"/>
      <c r="C33" s="138"/>
      <c r="D33" s="61"/>
      <c r="E33" s="61"/>
      <c r="F33" s="61"/>
      <c r="G33" s="61"/>
      <c r="H33" s="13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ht="18.75">
      <c r="A34" s="129"/>
      <c r="B34" s="137"/>
      <c r="C34" s="138"/>
      <c r="D34" s="61"/>
      <c r="E34" s="61"/>
      <c r="F34" s="61"/>
      <c r="G34" s="61"/>
      <c r="H34" s="13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18.75">
      <c r="A35" s="129"/>
      <c r="B35" s="137"/>
      <c r="C35" s="138"/>
      <c r="D35" s="61"/>
      <c r="E35" s="61"/>
      <c r="F35" s="61"/>
      <c r="G35" s="61"/>
      <c r="H35" s="13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ht="18.75">
      <c r="A36" s="129"/>
      <c r="B36" s="137"/>
      <c r="C36" s="138"/>
      <c r="D36" s="61"/>
      <c r="E36" s="61"/>
      <c r="F36" s="61"/>
      <c r="G36" s="61"/>
      <c r="H36" s="136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ht="18.75">
      <c r="A37" s="129"/>
      <c r="B37" s="137"/>
      <c r="C37" s="138"/>
      <c r="D37" s="61"/>
      <c r="E37" s="61"/>
      <c r="F37" s="61"/>
      <c r="G37" s="61"/>
      <c r="H37" s="136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ht="18.75">
      <c r="A38" s="129"/>
      <c r="B38" s="137"/>
      <c r="C38" s="138"/>
      <c r="D38" s="61"/>
      <c r="E38" s="61"/>
      <c r="F38" s="61"/>
      <c r="G38" s="61"/>
      <c r="H38" s="136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1:24" ht="18.75">
      <c r="A39" s="129"/>
      <c r="B39" s="137"/>
      <c r="C39" s="138"/>
      <c r="D39" s="61"/>
      <c r="E39" s="61"/>
      <c r="F39" s="61"/>
      <c r="G39" s="61"/>
      <c r="H39" s="136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18.75">
      <c r="A40" s="129"/>
      <c r="B40" s="148" t="s">
        <v>67</v>
      </c>
      <c r="C40" s="147">
        <f>(D17+D23)</f>
        <v>5.07</v>
      </c>
      <c r="D40" s="61"/>
      <c r="E40" s="61"/>
      <c r="F40" s="61"/>
      <c r="G40" s="61"/>
      <c r="H40" s="136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18.75">
      <c r="A41" s="129"/>
      <c r="B41" s="148" t="s">
        <v>68</v>
      </c>
      <c r="C41" s="147">
        <f>D18</f>
        <v>1.23</v>
      </c>
      <c r="D41" s="61"/>
      <c r="E41" s="61"/>
      <c r="F41" s="61"/>
      <c r="G41" s="61"/>
      <c r="H41" s="136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ht="18.75">
      <c r="A42" s="129"/>
      <c r="B42" s="148" t="s">
        <v>69</v>
      </c>
      <c r="C42" s="147">
        <f>D16</f>
        <v>7.3</v>
      </c>
      <c r="D42" s="61"/>
      <c r="E42" s="61"/>
      <c r="F42" s="61"/>
      <c r="G42" s="61"/>
      <c r="H42" s="136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18.75">
      <c r="A43" s="129"/>
      <c r="B43" s="148" t="s">
        <v>70</v>
      </c>
      <c r="C43" s="147">
        <f>(D19+D20+D21+D22)</f>
        <v>8.65</v>
      </c>
      <c r="D43" s="61"/>
      <c r="E43" s="61"/>
      <c r="F43" s="61"/>
      <c r="G43" s="61"/>
      <c r="H43" s="136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 ht="18.75">
      <c r="A44" s="129"/>
      <c r="B44" s="61" t="s">
        <v>71</v>
      </c>
      <c r="C44" s="61"/>
      <c r="D44" s="61"/>
      <c r="E44" s="61"/>
      <c r="F44" s="61"/>
      <c r="G44" s="61"/>
      <c r="H44" s="136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 ht="19.5" thickBot="1">
      <c r="A45" s="129"/>
      <c r="B45" s="61"/>
      <c r="C45" s="61"/>
      <c r="D45" s="61"/>
      <c r="E45" s="61"/>
      <c r="F45" s="61"/>
      <c r="G45" s="61"/>
      <c r="H45" s="136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 ht="19.5" thickBot="1">
      <c r="A46" s="129"/>
      <c r="B46" s="149"/>
      <c r="C46" s="150" t="s">
        <v>72</v>
      </c>
      <c r="D46" s="151">
        <f>ROUND((((((1+H17+H23)*(1+H18)*(1+H16))/(1-(H19+H20+H21+H22)))-1))*100,2)</f>
        <v>24.93</v>
      </c>
      <c r="E46" s="152"/>
      <c r="F46" s="152"/>
      <c r="G46" s="153"/>
      <c r="H46" s="136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1:24" ht="18.75">
      <c r="A47" s="129"/>
      <c r="B47" s="61"/>
      <c r="C47" s="61"/>
      <c r="D47" s="61"/>
      <c r="E47" s="61"/>
      <c r="F47" s="61"/>
      <c r="G47" s="61"/>
      <c r="H47" s="136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ht="15">
      <c r="A48" s="129"/>
      <c r="B48" s="61"/>
      <c r="C48" s="61"/>
      <c r="D48" s="61"/>
      <c r="E48" s="61"/>
      <c r="F48" s="61"/>
      <c r="G48" s="61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:24" ht="18.75">
      <c r="A49" s="129"/>
      <c r="B49" s="61"/>
      <c r="C49" s="61"/>
      <c r="D49" s="61"/>
      <c r="E49" s="61"/>
      <c r="F49" s="61"/>
      <c r="G49" s="61"/>
      <c r="H49" s="136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1:24" ht="18.75">
      <c r="A50" s="129"/>
      <c r="B50" s="61"/>
      <c r="C50" s="61"/>
      <c r="D50" s="61"/>
      <c r="E50" s="61"/>
      <c r="F50" s="61"/>
      <c r="G50" s="61"/>
      <c r="H50" s="136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</row>
    <row r="51" spans="1:24" ht="18.75">
      <c r="A51" s="129"/>
      <c r="B51" s="61"/>
      <c r="C51" s="61"/>
      <c r="D51" s="61"/>
      <c r="E51" s="61"/>
      <c r="F51" s="61"/>
      <c r="G51" s="61"/>
      <c r="H51" s="136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1:24" ht="18.75">
      <c r="A52" s="129"/>
      <c r="B52" s="61"/>
      <c r="C52" s="61"/>
      <c r="D52" s="61"/>
      <c r="E52" s="61"/>
      <c r="F52" s="61"/>
      <c r="G52" s="61"/>
      <c r="H52" s="136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1:24" ht="18.75">
      <c r="A53" s="129"/>
      <c r="B53" s="543" t="str">
        <f>Orçamento!B115</f>
        <v>Teresina (PI), 07de Maio de 2015</v>
      </c>
      <c r="C53" s="543"/>
      <c r="D53" s="61"/>
      <c r="E53" s="61"/>
      <c r="F53" s="61"/>
      <c r="G53" s="61"/>
      <c r="H53" s="136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</row>
    <row r="54" spans="1:24" ht="18.75">
      <c r="A54" s="129"/>
      <c r="B54" s="61"/>
      <c r="C54" s="61"/>
      <c r="D54" s="61"/>
      <c r="E54" s="61"/>
      <c r="F54" s="61"/>
      <c r="G54" s="61"/>
      <c r="H54" s="136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</row>
    <row r="55" spans="1:24" ht="18.75">
      <c r="A55" s="129"/>
      <c r="B55" s="61"/>
      <c r="C55" s="61"/>
      <c r="D55" s="61"/>
      <c r="E55" s="61"/>
      <c r="F55" s="61"/>
      <c r="G55" s="61"/>
      <c r="H55" s="136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</row>
    <row r="56" spans="1:24" ht="18.75">
      <c r="A56" s="129"/>
      <c r="B56" s="61"/>
      <c r="C56" s="61"/>
      <c r="D56" s="61"/>
      <c r="E56" s="61"/>
      <c r="F56" s="61"/>
      <c r="G56" s="61"/>
      <c r="H56" s="136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</row>
    <row r="57" spans="1:24" ht="18.75">
      <c r="A57" s="129"/>
      <c r="B57" s="61"/>
      <c r="C57" s="61"/>
      <c r="D57" s="61"/>
      <c r="E57" s="61"/>
      <c r="F57" s="61"/>
      <c r="G57" s="61"/>
      <c r="H57" s="136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</row>
    <row r="58" spans="1:24" ht="18.75">
      <c r="A58" s="129"/>
      <c r="B58" s="61"/>
      <c r="C58" s="61"/>
      <c r="D58" s="61"/>
      <c r="E58" s="61"/>
      <c r="F58" s="61"/>
      <c r="G58" s="61"/>
      <c r="H58" s="136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1:24" ht="18.75">
      <c r="A59" s="129"/>
      <c r="B59" s="61"/>
      <c r="C59" s="61"/>
      <c r="D59" s="61"/>
      <c r="E59" s="61"/>
      <c r="F59" s="61"/>
      <c r="G59" s="61"/>
      <c r="H59" s="136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</row>
    <row r="60" spans="1:24" ht="18.75">
      <c r="A60" s="129"/>
      <c r="B60" s="129"/>
      <c r="C60" s="129"/>
      <c r="D60" s="129"/>
      <c r="E60" s="129"/>
      <c r="F60" s="129"/>
      <c r="G60" s="129"/>
      <c r="H60" s="136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1:24" ht="18.75">
      <c r="A61" s="129"/>
      <c r="B61" s="129"/>
      <c r="C61" s="129"/>
      <c r="D61" s="129"/>
      <c r="E61" s="129"/>
      <c r="F61" s="129"/>
      <c r="G61" s="129"/>
      <c r="H61" s="136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4" ht="18.75">
      <c r="A62" s="129"/>
      <c r="B62" s="129"/>
      <c r="C62" s="129"/>
      <c r="D62" s="129"/>
      <c r="E62" s="129"/>
      <c r="F62" s="129"/>
      <c r="G62" s="129"/>
      <c r="H62" s="136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1:24" ht="18.75">
      <c r="A63" s="129"/>
      <c r="B63" s="129"/>
      <c r="C63" s="129"/>
      <c r="D63" s="129"/>
      <c r="E63" s="129"/>
      <c r="F63" s="129"/>
      <c r="G63" s="129"/>
      <c r="H63" s="136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</row>
    <row r="64" spans="1:24" ht="18.75">
      <c r="A64" s="129"/>
      <c r="B64" s="129"/>
      <c r="C64" s="129"/>
      <c r="D64" s="129"/>
      <c r="E64" s="129"/>
      <c r="F64" s="129"/>
      <c r="G64" s="129"/>
      <c r="H64" s="136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</row>
    <row r="65" spans="1:24" ht="18.75">
      <c r="A65" s="129"/>
      <c r="B65" s="129"/>
      <c r="C65" s="129"/>
      <c r="D65" s="129"/>
      <c r="E65" s="129"/>
      <c r="F65" s="129"/>
      <c r="G65" s="129"/>
      <c r="H65" s="136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</row>
    <row r="66" spans="1:24" ht="18.75">
      <c r="A66" s="129"/>
      <c r="B66" s="129"/>
      <c r="C66" s="129"/>
      <c r="D66" s="129"/>
      <c r="E66" s="129"/>
      <c r="F66" s="129"/>
      <c r="G66" s="129"/>
      <c r="H66" s="136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18.75">
      <c r="A67" s="129"/>
      <c r="B67" s="129"/>
      <c r="C67" s="129"/>
      <c r="D67" s="129"/>
      <c r="E67" s="129"/>
      <c r="F67" s="129"/>
      <c r="G67" s="129"/>
      <c r="H67" s="136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4" ht="18.75">
      <c r="A68" s="129"/>
      <c r="B68" s="129"/>
      <c r="C68" s="129"/>
      <c r="D68" s="129"/>
      <c r="E68" s="129"/>
      <c r="F68" s="129"/>
      <c r="G68" s="129"/>
      <c r="H68" s="136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</row>
    <row r="69" spans="1:24" ht="15">
      <c r="A69" s="129"/>
      <c r="B69" s="129"/>
      <c r="C69" s="129"/>
      <c r="D69" s="129"/>
      <c r="E69" s="129"/>
      <c r="F69" s="129"/>
      <c r="G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1:24" ht="18.75">
      <c r="A70" s="129"/>
      <c r="B70" s="129"/>
      <c r="C70" s="129"/>
      <c r="D70" s="129"/>
      <c r="E70" s="129"/>
      <c r="F70" s="129"/>
      <c r="G70" s="129"/>
      <c r="H70" s="136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</row>
    <row r="71" spans="1:24" ht="18.75">
      <c r="A71" s="129"/>
      <c r="B71" s="129"/>
      <c r="C71" s="129"/>
      <c r="D71" s="129"/>
      <c r="E71" s="129"/>
      <c r="F71" s="129"/>
      <c r="G71" s="129"/>
      <c r="H71" s="136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8.75">
      <c r="A72" s="129"/>
      <c r="B72" s="129"/>
      <c r="C72" s="129"/>
      <c r="D72" s="129"/>
      <c r="E72" s="129"/>
      <c r="F72" s="129"/>
      <c r="G72" s="129"/>
      <c r="H72" s="136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</row>
    <row r="73" spans="1:24" ht="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ht="1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ht="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ht="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1:24" ht="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</row>
    <row r="78" spans="1:24" ht="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1:24" ht="1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</row>
    <row r="80" spans="1:24" ht="1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</row>
    <row r="81" spans="1:24" ht="1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</row>
    <row r="82" spans="1:24" ht="1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</row>
    <row r="83" spans="1:24" ht="1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</row>
    <row r="84" spans="1:24" ht="1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</row>
    <row r="85" spans="1:24" ht="1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ht="1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ht="1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</row>
    <row r="88" spans="1:24" ht="1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1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ht="1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</row>
    <row r="91" spans="1:24" ht="1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</row>
    <row r="92" spans="1:24" ht="1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ht="1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ht="1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</row>
    <row r="95" spans="1:24" ht="1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</row>
    <row r="96" spans="1:24" ht="1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spans="1:24" ht="1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</row>
    <row r="98" spans="1:24" ht="1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</row>
    <row r="99" spans="1:24" ht="1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</row>
    <row r="100" spans="1:24" ht="1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</row>
    <row r="101" spans="1:24" ht="1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</row>
    <row r="102" spans="1:24" ht="1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</row>
    <row r="103" spans="1:24" ht="1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</row>
    <row r="104" spans="1:24" ht="1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</row>
    <row r="105" spans="1:24" ht="1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ht="1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ht="1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</row>
    <row r="108" spans="1:24" ht="1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</row>
    <row r="109" spans="1:24" ht="1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</row>
    <row r="110" spans="1:24" ht="1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</row>
    <row r="111" spans="1:24" ht="1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</row>
    <row r="112" spans="1:24" ht="1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</row>
    <row r="113" spans="1:24" ht="1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ht="1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ht="1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ht="1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</row>
    <row r="117" spans="1:24" ht="1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</row>
    <row r="118" spans="1:24" ht="1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</row>
    <row r="119" spans="1:24" ht="1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</row>
    <row r="120" spans="1:24" ht="1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</row>
    <row r="121" spans="1:24" ht="1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</row>
  </sheetData>
  <sheetProtection/>
  <mergeCells count="33">
    <mergeCell ref="D21:G21"/>
    <mergeCell ref="D22:G22"/>
    <mergeCell ref="D23:G23"/>
    <mergeCell ref="B19:C19"/>
    <mergeCell ref="B20:C20"/>
    <mergeCell ref="B21:C21"/>
    <mergeCell ref="B22:C22"/>
    <mergeCell ref="B23:C23"/>
    <mergeCell ref="D16:G16"/>
    <mergeCell ref="D17:G17"/>
    <mergeCell ref="D18:G18"/>
    <mergeCell ref="D19:G19"/>
    <mergeCell ref="B12:C12"/>
    <mergeCell ref="B16:C16"/>
    <mergeCell ref="B17:C17"/>
    <mergeCell ref="B18:C18"/>
    <mergeCell ref="D3:G4"/>
    <mergeCell ref="D5:G6"/>
    <mergeCell ref="H5:K6"/>
    <mergeCell ref="L5:L6"/>
    <mergeCell ref="D7:G8"/>
    <mergeCell ref="H7:K8"/>
    <mergeCell ref="L7:L8"/>
    <mergeCell ref="C25:E25"/>
    <mergeCell ref="B53:C53"/>
    <mergeCell ref="D20:G20"/>
    <mergeCell ref="B10:C10"/>
    <mergeCell ref="B11:C11"/>
    <mergeCell ref="D10:G10"/>
    <mergeCell ref="D11:G11"/>
    <mergeCell ref="B13:G13"/>
    <mergeCell ref="B15:C15"/>
    <mergeCell ref="D15:G15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4"/>
  <sheetViews>
    <sheetView tabSelected="1" view="pageBreakPreview" zoomScale="106" zoomScaleSheetLayoutView="106" zoomScalePageLayoutView="0" workbookViewId="0" topLeftCell="A1">
      <selection activeCell="B10" sqref="B10:E10"/>
    </sheetView>
  </sheetViews>
  <sheetFormatPr defaultColWidth="9.140625" defaultRowHeight="15"/>
  <cols>
    <col min="1" max="1" width="9.140625" style="270" customWidth="1"/>
    <col min="2" max="2" width="12.140625" style="270" customWidth="1"/>
    <col min="3" max="3" width="9.140625" style="270" customWidth="1"/>
    <col min="4" max="4" width="16.7109375" style="270" customWidth="1"/>
    <col min="5" max="5" width="17.28125" style="270" customWidth="1"/>
    <col min="6" max="6" width="9.140625" style="270" customWidth="1"/>
    <col min="7" max="7" width="11.57421875" style="270" customWidth="1"/>
    <col min="8" max="8" width="14.28125" style="270" bestFit="1" customWidth="1"/>
    <col min="9" max="16384" width="9.140625" style="270" customWidth="1"/>
  </cols>
  <sheetData>
    <row r="2" spans="2:8" ht="12" customHeight="1">
      <c r="B2" s="30"/>
      <c r="C2" s="31"/>
      <c r="D2" s="533" t="s">
        <v>172</v>
      </c>
      <c r="E2" s="533"/>
      <c r="F2" s="533"/>
      <c r="G2" s="533"/>
      <c r="H2" s="533"/>
    </row>
    <row r="3" spans="2:8" ht="12" customHeight="1">
      <c r="B3" s="32"/>
      <c r="C3" s="33"/>
      <c r="D3" s="533"/>
      <c r="E3" s="533"/>
      <c r="F3" s="533"/>
      <c r="G3" s="533"/>
      <c r="H3" s="533"/>
    </row>
    <row r="4" spans="2:8" ht="12" customHeight="1">
      <c r="B4" s="32"/>
      <c r="C4" s="33"/>
      <c r="D4" s="551" t="s">
        <v>171</v>
      </c>
      <c r="E4" s="551"/>
      <c r="F4" s="551"/>
      <c r="G4" s="551"/>
      <c r="H4" s="551"/>
    </row>
    <row r="5" spans="2:8" ht="12" customHeight="1">
      <c r="B5" s="32"/>
      <c r="C5" s="33"/>
      <c r="D5" s="551"/>
      <c r="E5" s="551"/>
      <c r="F5" s="551"/>
      <c r="G5" s="551"/>
      <c r="H5" s="551"/>
    </row>
    <row r="6" spans="2:8" ht="12" customHeight="1">
      <c r="B6" s="32"/>
      <c r="C6" s="33"/>
      <c r="D6" s="551" t="s">
        <v>41</v>
      </c>
      <c r="E6" s="551"/>
      <c r="F6" s="551"/>
      <c r="G6" s="551"/>
      <c r="H6" s="551"/>
    </row>
    <row r="7" spans="2:8" ht="12" customHeight="1">
      <c r="B7" s="34"/>
      <c r="C7" s="35"/>
      <c r="D7" s="551"/>
      <c r="E7" s="551"/>
      <c r="F7" s="551"/>
      <c r="G7" s="551"/>
      <c r="H7" s="551"/>
    </row>
    <row r="8" spans="2:7" ht="6.75" customHeight="1">
      <c r="B8" s="11"/>
      <c r="C8" s="12"/>
      <c r="D8" s="12"/>
      <c r="E8" s="12"/>
      <c r="F8" s="11"/>
      <c r="G8" s="17"/>
    </row>
    <row r="9" spans="2:8" ht="18" customHeight="1">
      <c r="B9" s="652" t="s">
        <v>470</v>
      </c>
      <c r="C9" s="720"/>
      <c r="D9" s="720"/>
      <c r="E9" s="653"/>
      <c r="F9" s="714" t="s">
        <v>471</v>
      </c>
      <c r="G9" s="715"/>
      <c r="H9" s="716"/>
    </row>
    <row r="10" spans="2:8" ht="18" customHeight="1">
      <c r="B10" s="721" t="s">
        <v>469</v>
      </c>
      <c r="C10" s="722"/>
      <c r="D10" s="722"/>
      <c r="E10" s="723"/>
      <c r="F10" s="717" t="s">
        <v>468</v>
      </c>
      <c r="G10" s="718"/>
      <c r="H10" s="719"/>
    </row>
    <row r="11" ht="6" customHeight="1" thickBot="1"/>
    <row r="12" spans="2:8" ht="19.5" customHeight="1" thickBot="1">
      <c r="B12" s="683" t="s">
        <v>102</v>
      </c>
      <c r="C12" s="684"/>
      <c r="D12" s="684"/>
      <c r="E12" s="684"/>
      <c r="F12" s="684"/>
      <c r="G12" s="684"/>
      <c r="H12" s="685"/>
    </row>
    <row r="13" spans="2:8" ht="4.5" customHeight="1">
      <c r="B13" s="285"/>
      <c r="C13" s="285"/>
      <c r="D13" s="285"/>
      <c r="E13" s="285"/>
      <c r="F13" s="285"/>
      <c r="G13" s="285"/>
      <c r="H13" s="285"/>
    </row>
    <row r="14" spans="2:8" ht="15.75" thickBot="1">
      <c r="B14" s="355" t="s">
        <v>103</v>
      </c>
      <c r="C14" s="686" t="s">
        <v>60</v>
      </c>
      <c r="D14" s="686"/>
      <c r="E14" s="686"/>
      <c r="F14" s="686"/>
      <c r="G14" s="356" t="s">
        <v>104</v>
      </c>
      <c r="H14" s="357" t="s">
        <v>105</v>
      </c>
    </row>
    <row r="15" spans="2:8" ht="15">
      <c r="B15" s="687" t="s">
        <v>106</v>
      </c>
      <c r="C15" s="688"/>
      <c r="D15" s="688"/>
      <c r="E15" s="688"/>
      <c r="F15" s="688"/>
      <c r="G15" s="688"/>
      <c r="H15" s="689"/>
    </row>
    <row r="16" spans="2:8" ht="15">
      <c r="B16" s="271" t="s">
        <v>107</v>
      </c>
      <c r="C16" s="690" t="s">
        <v>108</v>
      </c>
      <c r="D16" s="690"/>
      <c r="E16" s="690"/>
      <c r="F16" s="690"/>
      <c r="G16" s="272">
        <v>0</v>
      </c>
      <c r="H16" s="273">
        <v>0</v>
      </c>
    </row>
    <row r="17" spans="2:8" ht="15">
      <c r="B17" s="271" t="s">
        <v>109</v>
      </c>
      <c r="C17" s="690" t="s">
        <v>110</v>
      </c>
      <c r="D17" s="690"/>
      <c r="E17" s="690"/>
      <c r="F17" s="690"/>
      <c r="G17" s="272">
        <v>1.5</v>
      </c>
      <c r="H17" s="273">
        <v>1.5</v>
      </c>
    </row>
    <row r="18" spans="2:8" ht="15">
      <c r="B18" s="271" t="s">
        <v>111</v>
      </c>
      <c r="C18" s="690" t="s">
        <v>112</v>
      </c>
      <c r="D18" s="690"/>
      <c r="E18" s="690"/>
      <c r="F18" s="690"/>
      <c r="G18" s="272">
        <v>1</v>
      </c>
      <c r="H18" s="273">
        <v>1</v>
      </c>
    </row>
    <row r="19" spans="2:8" ht="15">
      <c r="B19" s="271" t="s">
        <v>113</v>
      </c>
      <c r="C19" s="690" t="s">
        <v>114</v>
      </c>
      <c r="D19" s="690"/>
      <c r="E19" s="690"/>
      <c r="F19" s="690"/>
      <c r="G19" s="272">
        <v>0.2</v>
      </c>
      <c r="H19" s="273">
        <v>0.2</v>
      </c>
    </row>
    <row r="20" spans="2:8" ht="15">
      <c r="B20" s="271" t="s">
        <v>115</v>
      </c>
      <c r="C20" s="690" t="s">
        <v>116</v>
      </c>
      <c r="D20" s="690"/>
      <c r="E20" s="690"/>
      <c r="F20" s="690"/>
      <c r="G20" s="272">
        <v>0.6</v>
      </c>
      <c r="H20" s="273">
        <v>0.6</v>
      </c>
    </row>
    <row r="21" spans="2:8" ht="15">
      <c r="B21" s="271" t="s">
        <v>117</v>
      </c>
      <c r="C21" s="690" t="s">
        <v>118</v>
      </c>
      <c r="D21" s="690"/>
      <c r="E21" s="690"/>
      <c r="F21" s="690"/>
      <c r="G21" s="272">
        <v>2.5</v>
      </c>
      <c r="H21" s="273">
        <v>2.5</v>
      </c>
    </row>
    <row r="22" spans="2:8" ht="15">
      <c r="B22" s="271" t="s">
        <v>119</v>
      </c>
      <c r="C22" s="690" t="s">
        <v>120</v>
      </c>
      <c r="D22" s="690"/>
      <c r="E22" s="690"/>
      <c r="F22" s="690"/>
      <c r="G22" s="272">
        <v>3</v>
      </c>
      <c r="H22" s="273">
        <v>3</v>
      </c>
    </row>
    <row r="23" spans="2:8" ht="15">
      <c r="B23" s="271" t="s">
        <v>121</v>
      </c>
      <c r="C23" s="690" t="s">
        <v>122</v>
      </c>
      <c r="D23" s="690"/>
      <c r="E23" s="690"/>
      <c r="F23" s="690"/>
      <c r="G23" s="272">
        <v>8</v>
      </c>
      <c r="H23" s="273">
        <v>8</v>
      </c>
    </row>
    <row r="24" spans="2:8" ht="15.75" thickBot="1">
      <c r="B24" s="274" t="s">
        <v>123</v>
      </c>
      <c r="C24" s="691" t="s">
        <v>124</v>
      </c>
      <c r="D24" s="691"/>
      <c r="E24" s="691"/>
      <c r="F24" s="691"/>
      <c r="G24" s="275">
        <v>0</v>
      </c>
      <c r="H24" s="276">
        <v>0</v>
      </c>
    </row>
    <row r="25" spans="2:8" ht="15.75" thickBot="1">
      <c r="B25" s="277" t="s">
        <v>125</v>
      </c>
      <c r="C25" s="692" t="s">
        <v>126</v>
      </c>
      <c r="D25" s="692"/>
      <c r="E25" s="692"/>
      <c r="F25" s="692"/>
      <c r="G25" s="278">
        <f>SUM(G16:G24)</f>
        <v>16.8</v>
      </c>
      <c r="H25" s="279">
        <f>SUM(H16:H24)</f>
        <v>16.8</v>
      </c>
    </row>
    <row r="26" spans="2:8" ht="9" customHeight="1" thickBot="1">
      <c r="B26" s="693"/>
      <c r="C26" s="694"/>
      <c r="D26" s="694"/>
      <c r="E26" s="694"/>
      <c r="F26" s="694"/>
      <c r="G26" s="694"/>
      <c r="H26" s="695"/>
    </row>
    <row r="27" spans="2:8" ht="15">
      <c r="B27" s="687" t="s">
        <v>127</v>
      </c>
      <c r="C27" s="688"/>
      <c r="D27" s="688"/>
      <c r="E27" s="688"/>
      <c r="F27" s="688"/>
      <c r="G27" s="688"/>
      <c r="H27" s="689"/>
    </row>
    <row r="28" spans="2:8" ht="15">
      <c r="B28" s="271" t="s">
        <v>128</v>
      </c>
      <c r="C28" s="690" t="s">
        <v>129</v>
      </c>
      <c r="D28" s="690"/>
      <c r="E28" s="690"/>
      <c r="F28" s="690"/>
      <c r="G28" s="272">
        <v>17.84</v>
      </c>
      <c r="H28" s="273">
        <v>0</v>
      </c>
    </row>
    <row r="29" spans="2:8" ht="15">
      <c r="B29" s="271" t="s">
        <v>130</v>
      </c>
      <c r="C29" s="690" t="s">
        <v>131</v>
      </c>
      <c r="D29" s="690"/>
      <c r="E29" s="690"/>
      <c r="F29" s="690"/>
      <c r="G29" s="272">
        <v>3.95</v>
      </c>
      <c r="H29" s="273">
        <v>0</v>
      </c>
    </row>
    <row r="30" spans="2:8" ht="15">
      <c r="B30" s="271" t="s">
        <v>132</v>
      </c>
      <c r="C30" s="690" t="s">
        <v>133</v>
      </c>
      <c r="D30" s="690"/>
      <c r="E30" s="690"/>
      <c r="F30" s="690"/>
      <c r="G30" s="272">
        <v>0.92</v>
      </c>
      <c r="H30" s="273">
        <v>0.69</v>
      </c>
    </row>
    <row r="31" spans="2:8" ht="15">
      <c r="B31" s="271" t="s">
        <v>134</v>
      </c>
      <c r="C31" s="690" t="s">
        <v>135</v>
      </c>
      <c r="D31" s="690"/>
      <c r="E31" s="690"/>
      <c r="F31" s="690"/>
      <c r="G31" s="280">
        <v>11.02</v>
      </c>
      <c r="H31" s="281">
        <v>8.33</v>
      </c>
    </row>
    <row r="32" spans="2:8" ht="15">
      <c r="B32" s="271" t="s">
        <v>136</v>
      </c>
      <c r="C32" s="690" t="s">
        <v>137</v>
      </c>
      <c r="D32" s="690"/>
      <c r="E32" s="690"/>
      <c r="F32" s="690"/>
      <c r="G32" s="272">
        <v>0.08</v>
      </c>
      <c r="H32" s="273">
        <v>0.06</v>
      </c>
    </row>
    <row r="33" spans="2:8" ht="15">
      <c r="B33" s="271" t="s">
        <v>138</v>
      </c>
      <c r="C33" s="696" t="s">
        <v>139</v>
      </c>
      <c r="D33" s="697"/>
      <c r="E33" s="697"/>
      <c r="F33" s="698"/>
      <c r="G33" s="272">
        <v>0.73</v>
      </c>
      <c r="H33" s="273">
        <v>0.56</v>
      </c>
    </row>
    <row r="34" spans="2:8" ht="15">
      <c r="B34" s="271" t="s">
        <v>140</v>
      </c>
      <c r="C34" s="696" t="s">
        <v>141</v>
      </c>
      <c r="D34" s="697"/>
      <c r="E34" s="697"/>
      <c r="F34" s="698"/>
      <c r="G34" s="272">
        <v>1.2</v>
      </c>
      <c r="H34" s="273">
        <v>0</v>
      </c>
    </row>
    <row r="35" spans="2:8" ht="15">
      <c r="B35" s="271" t="s">
        <v>142</v>
      </c>
      <c r="C35" s="696" t="s">
        <v>143</v>
      </c>
      <c r="D35" s="697"/>
      <c r="E35" s="697"/>
      <c r="F35" s="698"/>
      <c r="G35" s="272">
        <v>0.12</v>
      </c>
      <c r="H35" s="273">
        <v>0.09</v>
      </c>
    </row>
    <row r="36" spans="2:8" ht="15">
      <c r="B36" s="271" t="s">
        <v>144</v>
      </c>
      <c r="C36" s="690" t="s">
        <v>145</v>
      </c>
      <c r="D36" s="690"/>
      <c r="E36" s="690"/>
      <c r="F36" s="690"/>
      <c r="G36" s="272">
        <v>12.43</v>
      </c>
      <c r="H36" s="273">
        <v>9.39</v>
      </c>
    </row>
    <row r="37" spans="2:8" ht="15">
      <c r="B37" s="271" t="s">
        <v>146</v>
      </c>
      <c r="C37" s="690" t="s">
        <v>147</v>
      </c>
      <c r="D37" s="690"/>
      <c r="E37" s="690"/>
      <c r="F37" s="690"/>
      <c r="G37" s="272">
        <v>0.03</v>
      </c>
      <c r="H37" s="273">
        <v>0.02</v>
      </c>
    </row>
    <row r="38" spans="2:8" ht="15.75" thickBot="1">
      <c r="B38" s="282" t="s">
        <v>148</v>
      </c>
      <c r="C38" s="699" t="s">
        <v>149</v>
      </c>
      <c r="D38" s="699"/>
      <c r="E38" s="699"/>
      <c r="F38" s="699"/>
      <c r="G38" s="283">
        <f>SUM(G28:G37)</f>
        <v>48.32</v>
      </c>
      <c r="H38" s="284">
        <f>SUM(H28:H37)</f>
        <v>19.14</v>
      </c>
    </row>
    <row r="39" spans="2:8" ht="9.75" customHeight="1" thickBot="1">
      <c r="B39" s="693"/>
      <c r="C39" s="694"/>
      <c r="D39" s="694"/>
      <c r="E39" s="694"/>
      <c r="F39" s="694"/>
      <c r="G39" s="694"/>
      <c r="H39" s="695"/>
    </row>
    <row r="40" spans="2:8" ht="15">
      <c r="B40" s="687" t="s">
        <v>150</v>
      </c>
      <c r="C40" s="688"/>
      <c r="D40" s="688"/>
      <c r="E40" s="688"/>
      <c r="F40" s="688"/>
      <c r="G40" s="688"/>
      <c r="H40" s="689"/>
    </row>
    <row r="41" spans="2:8" ht="15">
      <c r="B41" s="271" t="s">
        <v>151</v>
      </c>
      <c r="C41" s="690" t="s">
        <v>152</v>
      </c>
      <c r="D41" s="690"/>
      <c r="E41" s="690"/>
      <c r="F41" s="690"/>
      <c r="G41" s="272">
        <v>7.73</v>
      </c>
      <c r="H41" s="273">
        <v>5.85</v>
      </c>
    </row>
    <row r="42" spans="2:8" ht="15">
      <c r="B42" s="271" t="s">
        <v>153</v>
      </c>
      <c r="C42" s="690" t="s">
        <v>154</v>
      </c>
      <c r="D42" s="690"/>
      <c r="E42" s="690"/>
      <c r="F42" s="690"/>
      <c r="G42" s="272">
        <v>0.42</v>
      </c>
      <c r="H42" s="273">
        <v>0.32</v>
      </c>
    </row>
    <row r="43" spans="2:8" ht="15">
      <c r="B43" s="271" t="s">
        <v>155</v>
      </c>
      <c r="C43" s="690" t="s">
        <v>156</v>
      </c>
      <c r="D43" s="690"/>
      <c r="E43" s="690"/>
      <c r="F43" s="690"/>
      <c r="G43" s="272">
        <v>1.74</v>
      </c>
      <c r="H43" s="273">
        <v>1.31</v>
      </c>
    </row>
    <row r="44" spans="2:8" ht="15">
      <c r="B44" s="271" t="s">
        <v>157</v>
      </c>
      <c r="C44" s="690" t="s">
        <v>158</v>
      </c>
      <c r="D44" s="690"/>
      <c r="E44" s="690"/>
      <c r="F44" s="690"/>
      <c r="G44" s="272">
        <v>4.99</v>
      </c>
      <c r="H44" s="273">
        <v>3.78</v>
      </c>
    </row>
    <row r="45" spans="2:8" ht="15">
      <c r="B45" s="271" t="s">
        <v>159</v>
      </c>
      <c r="C45" s="690" t="s">
        <v>160</v>
      </c>
      <c r="D45" s="690"/>
      <c r="E45" s="690"/>
      <c r="F45" s="690"/>
      <c r="G45" s="272">
        <v>0.65</v>
      </c>
      <c r="H45" s="273">
        <v>0.49</v>
      </c>
    </row>
    <row r="46" spans="2:8" ht="27.75" customHeight="1" thickBot="1">
      <c r="B46" s="282" t="s">
        <v>161</v>
      </c>
      <c r="C46" s="700" t="s">
        <v>162</v>
      </c>
      <c r="D46" s="701"/>
      <c r="E46" s="701"/>
      <c r="F46" s="702"/>
      <c r="G46" s="283">
        <f>SUM(G41:G45)</f>
        <v>15.530000000000001</v>
      </c>
      <c r="H46" s="284">
        <f>SUM(H41:H45)</f>
        <v>11.75</v>
      </c>
    </row>
    <row r="47" spans="2:8" ht="10.5" customHeight="1" thickBot="1">
      <c r="B47" s="693"/>
      <c r="C47" s="694"/>
      <c r="D47" s="694"/>
      <c r="E47" s="694"/>
      <c r="F47" s="694"/>
      <c r="G47" s="694"/>
      <c r="H47" s="695"/>
    </row>
    <row r="48" spans="2:8" ht="15">
      <c r="B48" s="687" t="s">
        <v>163</v>
      </c>
      <c r="C48" s="688"/>
      <c r="D48" s="688"/>
      <c r="E48" s="688"/>
      <c r="F48" s="688"/>
      <c r="G48" s="688"/>
      <c r="H48" s="689"/>
    </row>
    <row r="49" spans="2:8" ht="15">
      <c r="B49" s="271" t="s">
        <v>164</v>
      </c>
      <c r="C49" s="690" t="s">
        <v>165</v>
      </c>
      <c r="D49" s="690"/>
      <c r="E49" s="690"/>
      <c r="F49" s="690"/>
      <c r="G49" s="272">
        <v>8.12</v>
      </c>
      <c r="H49" s="273">
        <v>3.22</v>
      </c>
    </row>
    <row r="50" spans="2:8" ht="26.25" customHeight="1">
      <c r="B50" s="271" t="s">
        <v>166</v>
      </c>
      <c r="C50" s="703" t="s">
        <v>167</v>
      </c>
      <c r="D50" s="704"/>
      <c r="E50" s="704"/>
      <c r="F50" s="705"/>
      <c r="G50" s="272">
        <v>0.69</v>
      </c>
      <c r="H50" s="273">
        <v>0.52</v>
      </c>
    </row>
    <row r="51" spans="2:8" ht="15.75" thickBot="1">
      <c r="B51" s="282" t="s">
        <v>168</v>
      </c>
      <c r="C51" s="700" t="s">
        <v>169</v>
      </c>
      <c r="D51" s="701"/>
      <c r="E51" s="701"/>
      <c r="F51" s="702"/>
      <c r="G51" s="283">
        <f>SUM(G49:G50)</f>
        <v>8.809999999999999</v>
      </c>
      <c r="H51" s="284">
        <f>SUM(H49:H50)</f>
        <v>3.74</v>
      </c>
    </row>
    <row r="52" spans="2:8" ht="15">
      <c r="B52" s="706"/>
      <c r="C52" s="707"/>
      <c r="D52" s="707"/>
      <c r="E52" s="707"/>
      <c r="F52" s="707"/>
      <c r="G52" s="707"/>
      <c r="H52" s="708"/>
    </row>
    <row r="53" spans="2:8" ht="15">
      <c r="B53" s="709" t="s">
        <v>170</v>
      </c>
      <c r="C53" s="710"/>
      <c r="D53" s="710"/>
      <c r="E53" s="710"/>
      <c r="F53" s="710"/>
      <c r="G53" s="358">
        <f>SUM(G51+G46+G38+G25)</f>
        <v>89.46</v>
      </c>
      <c r="H53" s="359">
        <f>SUM(H51+H46+H38+H25)</f>
        <v>51.43000000000001</v>
      </c>
    </row>
    <row r="54" spans="2:8" ht="12.75" customHeight="1" thickBot="1">
      <c r="B54" s="711"/>
      <c r="C54" s="712"/>
      <c r="D54" s="712"/>
      <c r="E54" s="712"/>
      <c r="F54" s="712"/>
      <c r="G54" s="712"/>
      <c r="H54" s="713"/>
    </row>
  </sheetData>
  <sheetProtection/>
  <mergeCells count="49">
    <mergeCell ref="F9:H9"/>
    <mergeCell ref="F10:H10"/>
    <mergeCell ref="B9:E9"/>
    <mergeCell ref="B10:E10"/>
    <mergeCell ref="D2:H3"/>
    <mergeCell ref="D4:H5"/>
    <mergeCell ref="D6:H7"/>
    <mergeCell ref="C49:F49"/>
    <mergeCell ref="C50:F50"/>
    <mergeCell ref="C51:F51"/>
    <mergeCell ref="B52:H52"/>
    <mergeCell ref="B53:F53"/>
    <mergeCell ref="B54:H54"/>
    <mergeCell ref="C43:F43"/>
    <mergeCell ref="C44:F44"/>
    <mergeCell ref="C45:F45"/>
    <mergeCell ref="C46:F46"/>
    <mergeCell ref="B47:H47"/>
    <mergeCell ref="B48:H48"/>
    <mergeCell ref="C37:F37"/>
    <mergeCell ref="C38:F38"/>
    <mergeCell ref="B39:H39"/>
    <mergeCell ref="B40:H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B26:H26"/>
    <mergeCell ref="B27:H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B12:H12"/>
    <mergeCell ref="C14:F14"/>
    <mergeCell ref="B15:H15"/>
    <mergeCell ref="C16:F16"/>
    <mergeCell ref="C17:F17"/>
    <mergeCell ref="C18:F18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ARQUITETURA</cp:lastModifiedBy>
  <cp:lastPrinted>2015-05-07T17:33:12Z</cp:lastPrinted>
  <dcterms:created xsi:type="dcterms:W3CDTF">2008-07-14T14:43:26Z</dcterms:created>
  <dcterms:modified xsi:type="dcterms:W3CDTF">2015-05-07T17:33:15Z</dcterms:modified>
  <cp:category/>
  <cp:version/>
  <cp:contentType/>
  <cp:contentStatus/>
</cp:coreProperties>
</file>